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60" yWindow="15" windowWidth="20730" windowHeight="9720" activeTab="2"/>
  </bookViews>
  <sheets>
    <sheet name="Титул" sheetId="1" r:id="rId1"/>
    <sheet name="І Споруди" sheetId="2" r:id="rId2"/>
    <sheet name="ІІ Спортивна діяльність" sheetId="3" r:id="rId3"/>
    <sheet name="ІІІ ФОР" sheetId="4" r:id="rId4"/>
  </sheets>
  <definedNames>
    <definedName name="Print_Titles" localSheetId="1">'І Споруди'!$7:$7</definedName>
    <definedName name="Print_Titles" localSheetId="2">'ІІ Спортивна діяльність'!$8:$8</definedName>
    <definedName name="Print_Titles" localSheetId="3">'ІІІ ФОР'!$6:$6</definedName>
    <definedName name="_xlnm.Print_Area" localSheetId="0">Титул!$A$1:$Q$35</definedName>
  </definedNames>
  <calcPr calcId="144525"/>
  <extLst>
    <ext xmlns:x15="http://schemas.microsoft.com/office/spreadsheetml/2010/11/main" uri="{D0CA8CA8-9F24-4464-BF8E-62219DCF47F9}"/>
  </extLst>
</workbook>
</file>

<file path=xl/calcChain.xml><?xml version="1.0" encoding="utf-8"?>
<calcChain xmlns="http://schemas.openxmlformats.org/spreadsheetml/2006/main">
  <c r="M22" i="4" l="1"/>
  <c r="L22" i="4"/>
  <c r="K22" i="4"/>
  <c r="J22" i="4"/>
  <c r="I22" i="4"/>
  <c r="H22" i="4"/>
  <c r="G22" i="4"/>
  <c r="F22" i="4"/>
  <c r="E22" i="4"/>
  <c r="D22" i="4"/>
  <c r="M14" i="4"/>
  <c r="L14" i="4"/>
  <c r="K14" i="4"/>
  <c r="J14" i="4"/>
  <c r="I14" i="4"/>
  <c r="H14" i="4"/>
  <c r="G14" i="4"/>
  <c r="F14" i="4"/>
  <c r="E14" i="4"/>
  <c r="D14" i="4"/>
  <c r="G13" i="4"/>
  <c r="M7" i="4"/>
  <c r="L7" i="4"/>
  <c r="K7" i="4"/>
  <c r="J7" i="4"/>
  <c r="I7" i="4"/>
  <c r="H7" i="4"/>
  <c r="G7" i="4"/>
  <c r="F7" i="4"/>
  <c r="E7" i="4"/>
  <c r="D7" i="4"/>
  <c r="D238" i="3"/>
  <c r="R237" i="3"/>
  <c r="N237" i="3"/>
  <c r="M237" i="3"/>
  <c r="L237" i="3"/>
  <c r="K237" i="3"/>
  <c r="D237" i="3"/>
  <c r="S236" i="3"/>
  <c r="R236" i="3"/>
  <c r="M236" i="3"/>
  <c r="K236" i="3"/>
  <c r="D236" i="3" s="1"/>
  <c r="R235" i="3"/>
  <c r="N235" i="3"/>
  <c r="M235" i="3"/>
  <c r="K235" i="3"/>
  <c r="D235" i="3" s="1"/>
  <c r="D234" i="3"/>
  <c r="D233" i="3"/>
  <c r="R232" i="3"/>
  <c r="N232" i="3"/>
  <c r="M232" i="3"/>
  <c r="L232" i="3"/>
  <c r="D232" i="3"/>
  <c r="D231" i="3"/>
  <c r="D230" i="3"/>
  <c r="S229" i="3"/>
  <c r="R229" i="3"/>
  <c r="N229" i="3"/>
  <c r="N192" i="3" s="1"/>
  <c r="N9" i="3" s="1"/>
  <c r="M229" i="3"/>
  <c r="L229" i="3"/>
  <c r="D229" i="3"/>
  <c r="D228" i="3"/>
  <c r="D227" i="3"/>
  <c r="D226" i="3"/>
  <c r="D225" i="3"/>
  <c r="D224" i="3"/>
  <c r="R223" i="3"/>
  <c r="N223" i="3"/>
  <c r="M223" i="3"/>
  <c r="L223" i="3"/>
  <c r="D223" i="3"/>
  <c r="D222" i="3"/>
  <c r="D221" i="3"/>
  <c r="S220" i="3"/>
  <c r="R220" i="3"/>
  <c r="N220" i="3"/>
  <c r="M220" i="3"/>
  <c r="L220" i="3"/>
  <c r="K220" i="3"/>
  <c r="D220" i="3"/>
  <c r="D219" i="3"/>
  <c r="D218" i="3"/>
  <c r="S217" i="3"/>
  <c r="R217" i="3"/>
  <c r="M217" i="3"/>
  <c r="L217" i="3"/>
  <c r="K217" i="3"/>
  <c r="D217" i="3"/>
  <c r="S216" i="3"/>
  <c r="R216" i="3"/>
  <c r="M216" i="3"/>
  <c r="L216" i="3"/>
  <c r="D216" i="3"/>
  <c r="D215" i="3"/>
  <c r="D214" i="3"/>
  <c r="D213" i="3"/>
  <c r="D212" i="3"/>
  <c r="D211" i="3"/>
  <c r="D210" i="3"/>
  <c r="D209" i="3"/>
  <c r="D208" i="3"/>
  <c r="D207" i="3"/>
  <c r="D206" i="3"/>
  <c r="D205" i="3"/>
  <c r="D204" i="3"/>
  <c r="D203" i="3"/>
  <c r="D202" i="3"/>
  <c r="R201" i="3"/>
  <c r="M201" i="3"/>
  <c r="L201" i="3"/>
  <c r="K201" i="3"/>
  <c r="D201" i="3"/>
  <c r="D200" i="3"/>
  <c r="D199" i="3"/>
  <c r="D198" i="3"/>
  <c r="D197" i="3"/>
  <c r="S196" i="3"/>
  <c r="S192" i="3" s="1"/>
  <c r="S9" i="3" s="1"/>
  <c r="R196" i="3"/>
  <c r="R192" i="3" s="1"/>
  <c r="R9" i="3" s="1"/>
  <c r="N196" i="3"/>
  <c r="M196" i="3"/>
  <c r="L196" i="3"/>
  <c r="K196" i="3"/>
  <c r="D196" i="3" s="1"/>
  <c r="D192" i="3" s="1"/>
  <c r="D195" i="3"/>
  <c r="D194" i="3"/>
  <c r="D193" i="3"/>
  <c r="Q192" i="3"/>
  <c r="P192" i="3"/>
  <c r="O192" i="3"/>
  <c r="M192" i="3"/>
  <c r="L192" i="3"/>
  <c r="J192" i="3"/>
  <c r="I192" i="3"/>
  <c r="H192" i="3"/>
  <c r="G192" i="3"/>
  <c r="F192" i="3"/>
  <c r="E192" i="3"/>
  <c r="S191" i="3"/>
  <c r="R191" i="3"/>
  <c r="N191" i="3"/>
  <c r="M191" i="3"/>
  <c r="L191" i="3"/>
  <c r="D191" i="3"/>
  <c r="D190" i="3"/>
  <c r="D189" i="3"/>
  <c r="D186" i="3" s="1"/>
  <c r="D188" i="3"/>
  <c r="R187" i="3"/>
  <c r="N187" i="3"/>
  <c r="M187" i="3"/>
  <c r="M186" i="3" s="1"/>
  <c r="L187" i="3"/>
  <c r="D187" i="3"/>
  <c r="S186" i="3"/>
  <c r="R186" i="3"/>
  <c r="Q186" i="3"/>
  <c r="P186" i="3"/>
  <c r="O186" i="3"/>
  <c r="N186" i="3"/>
  <c r="L186" i="3"/>
  <c r="K186" i="3"/>
  <c r="J186" i="3"/>
  <c r="I186" i="3"/>
  <c r="H186" i="3"/>
  <c r="G186" i="3"/>
  <c r="F186" i="3"/>
  <c r="E186" i="3"/>
  <c r="D185" i="3"/>
  <c r="M184" i="3"/>
  <c r="L184" i="3"/>
  <c r="I184" i="3"/>
  <c r="D184" i="3"/>
  <c r="S183" i="3"/>
  <c r="R183" i="3"/>
  <c r="N183" i="3"/>
  <c r="M183" i="3"/>
  <c r="L183" i="3"/>
  <c r="D183" i="3"/>
  <c r="S182" i="3"/>
  <c r="R182" i="3"/>
  <c r="N182" i="3"/>
  <c r="M182" i="3"/>
  <c r="L182" i="3"/>
  <c r="D182" i="3"/>
  <c r="D181" i="3"/>
  <c r="D180" i="3"/>
  <c r="D179" i="3"/>
  <c r="D178" i="3"/>
  <c r="D177" i="3"/>
  <c r="D176" i="3"/>
  <c r="D175" i="3"/>
  <c r="D174" i="3"/>
  <c r="D173" i="3"/>
  <c r="D172" i="3"/>
  <c r="D171" i="3"/>
  <c r="D170" i="3"/>
  <c r="D169" i="3"/>
  <c r="D168" i="3"/>
  <c r="D167" i="3"/>
  <c r="D166" i="3"/>
  <c r="D165" i="3"/>
  <c r="D164" i="3"/>
  <c r="D163" i="3"/>
  <c r="D162" i="3"/>
  <c r="D161" i="3"/>
  <c r="D160" i="3"/>
  <c r="D159" i="3"/>
  <c r="D158" i="3"/>
  <c r="D157" i="3"/>
  <c r="D156" i="3"/>
  <c r="D155" i="3"/>
  <c r="R154" i="3"/>
  <c r="N154" i="3"/>
  <c r="M154" i="3"/>
  <c r="L154" i="3"/>
  <c r="D154" i="3"/>
  <c r="D153" i="3"/>
  <c r="D152" i="3"/>
  <c r="D151" i="3"/>
  <c r="D150" i="3"/>
  <c r="D149" i="3"/>
  <c r="D148" i="3"/>
  <c r="I147" i="3"/>
  <c r="D147" i="3"/>
  <c r="D146" i="3"/>
  <c r="D145" i="3"/>
  <c r="D144" i="3"/>
  <c r="D143" i="3"/>
  <c r="D142" i="3"/>
  <c r="D141" i="3"/>
  <c r="D140" i="3"/>
  <c r="D139" i="3"/>
  <c r="D138" i="3"/>
  <c r="D137" i="3"/>
  <c r="D136" i="3"/>
  <c r="D135" i="3"/>
  <c r="R134" i="3"/>
  <c r="M134" i="3"/>
  <c r="L134" i="3"/>
  <c r="D134" i="3"/>
  <c r="D133" i="3"/>
  <c r="D132" i="3"/>
  <c r="R131" i="3"/>
  <c r="N131" i="3"/>
  <c r="M131" i="3"/>
  <c r="L131" i="3"/>
  <c r="D131" i="3"/>
  <c r="D130" i="3"/>
  <c r="I129" i="3"/>
  <c r="D129" i="3" s="1"/>
  <c r="D128" i="3"/>
  <c r="D127" i="3"/>
  <c r="D126" i="3"/>
  <c r="D125" i="3"/>
  <c r="D124" i="3"/>
  <c r="D123" i="3"/>
  <c r="D122" i="3"/>
  <c r="D121" i="3"/>
  <c r="M120" i="3"/>
  <c r="I120" i="3"/>
  <c r="D120" i="3" s="1"/>
  <c r="D119" i="3"/>
  <c r="D118" i="3"/>
  <c r="D117" i="3"/>
  <c r="I116" i="3"/>
  <c r="D116" i="3" s="1"/>
  <c r="D115" i="3"/>
  <c r="D114" i="3"/>
  <c r="R113" i="3"/>
  <c r="N113" i="3"/>
  <c r="M113" i="3"/>
  <c r="L113" i="3"/>
  <c r="D113" i="3"/>
  <c r="D112" i="3"/>
  <c r="D111" i="3"/>
  <c r="D110" i="3"/>
  <c r="R109" i="3"/>
  <c r="N109" i="3"/>
  <c r="M109" i="3"/>
  <c r="L109" i="3"/>
  <c r="D109" i="3"/>
  <c r="D108" i="3"/>
  <c r="I107" i="3"/>
  <c r="D107" i="3"/>
  <c r="S106" i="3"/>
  <c r="R106" i="3"/>
  <c r="N106" i="3"/>
  <c r="M106" i="3"/>
  <c r="L106" i="3"/>
  <c r="D106" i="3"/>
  <c r="D105" i="3"/>
  <c r="D104" i="3"/>
  <c r="D103" i="3"/>
  <c r="I102" i="3"/>
  <c r="D102" i="3" s="1"/>
  <c r="D101" i="3"/>
  <c r="D100" i="3"/>
  <c r="D99" i="3"/>
  <c r="R98" i="3"/>
  <c r="M98" i="3"/>
  <c r="L98" i="3"/>
  <c r="D98" i="3"/>
  <c r="D97" i="3"/>
  <c r="D96" i="3"/>
  <c r="D95" i="3"/>
  <c r="D94" i="3"/>
  <c r="D93" i="3"/>
  <c r="D92" i="3"/>
  <c r="D91" i="3"/>
  <c r="D90" i="3"/>
  <c r="R89" i="3"/>
  <c r="N89" i="3"/>
  <c r="M89" i="3"/>
  <c r="L89" i="3"/>
  <c r="I89" i="3"/>
  <c r="D89" i="3"/>
  <c r="D88" i="3"/>
  <c r="D87" i="3"/>
  <c r="D86" i="3"/>
  <c r="R85" i="3"/>
  <c r="N85" i="3"/>
  <c r="M85" i="3"/>
  <c r="L85" i="3"/>
  <c r="D85" i="3"/>
  <c r="M84" i="3"/>
  <c r="I84" i="3"/>
  <c r="D84" i="3" s="1"/>
  <c r="D83" i="3"/>
  <c r="I82" i="3"/>
  <c r="D82" i="3" s="1"/>
  <c r="I81" i="3"/>
  <c r="D81" i="3"/>
  <c r="R80" i="3"/>
  <c r="M80" i="3"/>
  <c r="L80" i="3"/>
  <c r="I80" i="3"/>
  <c r="D80" i="3" s="1"/>
  <c r="D79" i="3"/>
  <c r="D78" i="3"/>
  <c r="D77" i="3"/>
  <c r="D76" i="3"/>
  <c r="I75" i="3"/>
  <c r="D75" i="3" s="1"/>
  <c r="M74" i="3"/>
  <c r="M71" i="3" s="1"/>
  <c r="M9" i="3" s="1"/>
  <c r="I74" i="3"/>
  <c r="D74" i="3" s="1"/>
  <c r="M73" i="3"/>
  <c r="I73" i="3"/>
  <c r="I71" i="3" s="1"/>
  <c r="I9" i="3" s="1"/>
  <c r="M72" i="3"/>
  <c r="I72" i="3"/>
  <c r="D72" i="3"/>
  <c r="S71" i="3"/>
  <c r="R71" i="3"/>
  <c r="Q71" i="3"/>
  <c r="P71" i="3"/>
  <c r="O71" i="3"/>
  <c r="N71" i="3"/>
  <c r="L71" i="3"/>
  <c r="K71" i="3"/>
  <c r="J71" i="3"/>
  <c r="H71" i="3"/>
  <c r="G71" i="3"/>
  <c r="F71" i="3"/>
  <c r="E71" i="3"/>
  <c r="D70" i="3"/>
  <c r="D69" i="3"/>
  <c r="I68" i="3"/>
  <c r="D68" i="3" s="1"/>
  <c r="S67" i="3"/>
  <c r="R67" i="3"/>
  <c r="O67" i="3"/>
  <c r="N67" i="3"/>
  <c r="M67" i="3"/>
  <c r="L67" i="3"/>
  <c r="I67" i="3"/>
  <c r="F67" i="3"/>
  <c r="D67" i="3"/>
  <c r="D66" i="3"/>
  <c r="D65" i="3"/>
  <c r="D64" i="3"/>
  <c r="D63" i="3"/>
  <c r="S62" i="3"/>
  <c r="R62" i="3"/>
  <c r="N62" i="3"/>
  <c r="M62" i="3"/>
  <c r="L62" i="3"/>
  <c r="I62" i="3"/>
  <c r="D62" i="3"/>
  <c r="M61" i="3"/>
  <c r="I61" i="3"/>
  <c r="D61" i="3" s="1"/>
  <c r="S60" i="3"/>
  <c r="R60" i="3"/>
  <c r="N60" i="3"/>
  <c r="M60" i="3"/>
  <c r="L60" i="3"/>
  <c r="I60" i="3"/>
  <c r="F60" i="3"/>
  <c r="D60" i="3" s="1"/>
  <c r="I59" i="3"/>
  <c r="D59" i="3"/>
  <c r="D58" i="3"/>
  <c r="I57" i="3"/>
  <c r="D57" i="3"/>
  <c r="S56" i="3"/>
  <c r="R56" i="3"/>
  <c r="N56" i="3"/>
  <c r="M56" i="3"/>
  <c r="L56" i="3"/>
  <c r="I56" i="3"/>
  <c r="F56" i="3"/>
  <c r="D56" i="3"/>
  <c r="R55" i="3"/>
  <c r="N55" i="3"/>
  <c r="M55" i="3"/>
  <c r="L55" i="3"/>
  <c r="D55" i="3"/>
  <c r="D54" i="3"/>
  <c r="D53" i="3"/>
  <c r="R52" i="3"/>
  <c r="N52" i="3"/>
  <c r="M52" i="3"/>
  <c r="L52" i="3"/>
  <c r="I52" i="3"/>
  <c r="D52" i="3"/>
  <c r="D51" i="3"/>
  <c r="D50" i="3"/>
  <c r="D49" i="3"/>
  <c r="I48" i="3"/>
  <c r="D48" i="3"/>
  <c r="D47" i="3"/>
  <c r="D46" i="3"/>
  <c r="D45" i="3"/>
  <c r="D44" i="3"/>
  <c r="D43" i="3"/>
  <c r="L42" i="3"/>
  <c r="I42" i="3"/>
  <c r="D42" i="3"/>
  <c r="S41" i="3"/>
  <c r="R41" i="3"/>
  <c r="N41" i="3"/>
  <c r="M41" i="3"/>
  <c r="L41" i="3"/>
  <c r="D41" i="3"/>
  <c r="D40" i="3"/>
  <c r="S39" i="3"/>
  <c r="R39" i="3"/>
  <c r="N39" i="3"/>
  <c r="M39" i="3"/>
  <c r="L39" i="3"/>
  <c r="I39" i="3"/>
  <c r="F39" i="3"/>
  <c r="D39" i="3"/>
  <c r="D38" i="3"/>
  <c r="D37" i="3"/>
  <c r="D36" i="3"/>
  <c r="D35" i="3"/>
  <c r="S34" i="3"/>
  <c r="R34" i="3"/>
  <c r="N34" i="3"/>
  <c r="M34" i="3"/>
  <c r="L34" i="3"/>
  <c r="I34" i="3"/>
  <c r="F34" i="3"/>
  <c r="D34" i="3"/>
  <c r="D33" i="3"/>
  <c r="D32" i="3"/>
  <c r="R31" i="3"/>
  <c r="N31" i="3"/>
  <c r="M31" i="3"/>
  <c r="L31" i="3"/>
  <c r="F31" i="3"/>
  <c r="D31" i="3"/>
  <c r="S30" i="3"/>
  <c r="R30" i="3"/>
  <c r="N30" i="3"/>
  <c r="M30" i="3"/>
  <c r="L30" i="3"/>
  <c r="I30" i="3"/>
  <c r="D30" i="3"/>
  <c r="D29" i="3"/>
  <c r="S28" i="3"/>
  <c r="R28" i="3"/>
  <c r="N28" i="3"/>
  <c r="M28" i="3"/>
  <c r="L28" i="3"/>
  <c r="I28" i="3"/>
  <c r="F28" i="3"/>
  <c r="D28" i="3"/>
  <c r="S27" i="3"/>
  <c r="R27" i="3"/>
  <c r="N27" i="3"/>
  <c r="M27" i="3"/>
  <c r="L27" i="3"/>
  <c r="F27" i="3"/>
  <c r="D27" i="3"/>
  <c r="D26" i="3"/>
  <c r="D25" i="3"/>
  <c r="S24" i="3"/>
  <c r="R24" i="3"/>
  <c r="N24" i="3"/>
  <c r="M24" i="3"/>
  <c r="L24" i="3"/>
  <c r="D24" i="3"/>
  <c r="D23" i="3"/>
  <c r="D22" i="3"/>
  <c r="R21" i="3"/>
  <c r="N21" i="3"/>
  <c r="M21" i="3"/>
  <c r="L21" i="3"/>
  <c r="D21" i="3"/>
  <c r="S20" i="3"/>
  <c r="R20" i="3"/>
  <c r="N20" i="3"/>
  <c r="M20" i="3"/>
  <c r="L20" i="3"/>
  <c r="F20" i="3"/>
  <c r="D20" i="3" s="1"/>
  <c r="D19" i="3"/>
  <c r="D18" i="3"/>
  <c r="R17" i="3"/>
  <c r="O17" i="3"/>
  <c r="N17" i="3"/>
  <c r="M17" i="3"/>
  <c r="L17" i="3"/>
  <c r="I17" i="3"/>
  <c r="D17" i="3"/>
  <c r="R16" i="3"/>
  <c r="N16" i="3"/>
  <c r="M16" i="3"/>
  <c r="L16" i="3"/>
  <c r="I16" i="3"/>
  <c r="F16" i="3"/>
  <c r="D16" i="3" s="1"/>
  <c r="D15" i="3"/>
  <c r="S14" i="3"/>
  <c r="R14" i="3"/>
  <c r="N14" i="3"/>
  <c r="M14" i="3"/>
  <c r="L14" i="3"/>
  <c r="F14" i="3"/>
  <c r="D14" i="3" s="1"/>
  <c r="D13" i="3"/>
  <c r="R12" i="3"/>
  <c r="N12" i="3"/>
  <c r="M12" i="3"/>
  <c r="L12" i="3"/>
  <c r="D12" i="3"/>
  <c r="I11" i="3"/>
  <c r="D11" i="3" s="1"/>
  <c r="S10" i="3"/>
  <c r="R10" i="3"/>
  <c r="Q10" i="3"/>
  <c r="P10" i="3"/>
  <c r="O10" i="3"/>
  <c r="N10" i="3"/>
  <c r="M10" i="3"/>
  <c r="L10" i="3"/>
  <c r="K10" i="3"/>
  <c r="J10" i="3"/>
  <c r="I10" i="3"/>
  <c r="H10" i="3"/>
  <c r="G10" i="3"/>
  <c r="F10" i="3"/>
  <c r="E10" i="3"/>
  <c r="Q9" i="3"/>
  <c r="P9" i="3"/>
  <c r="O9" i="3"/>
  <c r="L9" i="3"/>
  <c r="J9" i="3"/>
  <c r="H9" i="3"/>
  <c r="G9" i="3"/>
  <c r="F9" i="3"/>
  <c r="E9" i="3"/>
  <c r="AB55" i="2"/>
  <c r="AA55" i="2"/>
  <c r="Z55" i="2"/>
  <c r="Y55" i="2"/>
  <c r="X55" i="2"/>
  <c r="W55" i="2"/>
  <c r="V55" i="2"/>
  <c r="U55" i="2"/>
  <c r="T55" i="2"/>
  <c r="S55" i="2"/>
  <c r="R55" i="2"/>
  <c r="Q55" i="2"/>
  <c r="P55" i="2"/>
  <c r="O55" i="2"/>
  <c r="N55" i="2"/>
  <c r="M55" i="2"/>
  <c r="L55" i="2"/>
  <c r="K55" i="2"/>
  <c r="J55" i="2"/>
  <c r="I55" i="2"/>
  <c r="H55" i="2"/>
  <c r="G55" i="2"/>
  <c r="F55" i="2"/>
  <c r="E55" i="2"/>
  <c r="D55" i="2"/>
  <c r="AC43" i="2"/>
  <c r="AB43" i="2"/>
  <c r="AA43" i="2"/>
  <c r="Z43" i="2"/>
  <c r="Y43" i="2"/>
  <c r="X43" i="2"/>
  <c r="W43" i="2"/>
  <c r="V43" i="2"/>
  <c r="U43" i="2"/>
  <c r="T43" i="2"/>
  <c r="S43" i="2"/>
  <c r="R43" i="2"/>
  <c r="Q43" i="2"/>
  <c r="P43" i="2"/>
  <c r="O43" i="2"/>
  <c r="N43" i="2"/>
  <c r="M43" i="2"/>
  <c r="L43" i="2"/>
  <c r="K43" i="2"/>
  <c r="J43" i="2"/>
  <c r="I43" i="2"/>
  <c r="H43" i="2"/>
  <c r="G43" i="2"/>
  <c r="F43" i="2"/>
  <c r="E43" i="2"/>
  <c r="D43" i="2"/>
  <c r="AC38" i="2"/>
  <c r="AB38" i="2"/>
  <c r="AA38" i="2"/>
  <c r="Z38" i="2"/>
  <c r="Y38" i="2"/>
  <c r="X38" i="2"/>
  <c r="W38" i="2"/>
  <c r="V38" i="2"/>
  <c r="U38" i="2"/>
  <c r="T38" i="2"/>
  <c r="S38" i="2"/>
  <c r="R38" i="2"/>
  <c r="Q38" i="2"/>
  <c r="P38" i="2"/>
  <c r="O38" i="2"/>
  <c r="N38" i="2"/>
  <c r="M38" i="2"/>
  <c r="L38" i="2"/>
  <c r="K38" i="2"/>
  <c r="J38" i="2"/>
  <c r="I38" i="2"/>
  <c r="H38" i="2"/>
  <c r="G38" i="2"/>
  <c r="F38" i="2"/>
  <c r="E38" i="2"/>
  <c r="D38" i="2"/>
  <c r="AC26" i="2"/>
  <c r="AB26" i="2"/>
  <c r="AA26" i="2"/>
  <c r="Z26" i="2"/>
  <c r="Y26" i="2"/>
  <c r="X26" i="2"/>
  <c r="W26" i="2"/>
  <c r="V26" i="2"/>
  <c r="U26" i="2"/>
  <c r="T26" i="2"/>
  <c r="S26" i="2"/>
  <c r="R26" i="2"/>
  <c r="Q26" i="2"/>
  <c r="P26" i="2"/>
  <c r="O26" i="2"/>
  <c r="N26" i="2"/>
  <c r="M26" i="2"/>
  <c r="L26" i="2"/>
  <c r="K26" i="2"/>
  <c r="J26" i="2"/>
  <c r="I26" i="2"/>
  <c r="H26" i="2"/>
  <c r="G26" i="2"/>
  <c r="F26" i="2"/>
  <c r="E26" i="2"/>
  <c r="D26" i="2"/>
  <c r="AC14" i="2"/>
  <c r="AB14" i="2"/>
  <c r="AA14" i="2"/>
  <c r="Z14" i="2"/>
  <c r="Y14" i="2"/>
  <c r="X14" i="2"/>
  <c r="W14" i="2"/>
  <c r="V14" i="2"/>
  <c r="U14" i="2"/>
  <c r="T14" i="2"/>
  <c r="S14" i="2"/>
  <c r="R14" i="2"/>
  <c r="Q14" i="2"/>
  <c r="P14" i="2"/>
  <c r="O14" i="2"/>
  <c r="N14" i="2"/>
  <c r="M14" i="2"/>
  <c r="L14" i="2"/>
  <c r="J14" i="2"/>
  <c r="I14" i="2"/>
  <c r="H14" i="2"/>
  <c r="G14" i="2"/>
  <c r="F14" i="2"/>
  <c r="E14" i="2"/>
  <c r="D14" i="2"/>
  <c r="AC9" i="2"/>
  <c r="AB9" i="2"/>
  <c r="AA9" i="2"/>
  <c r="Z9" i="2"/>
  <c r="Y9" i="2"/>
  <c r="X9" i="2"/>
  <c r="W9" i="2"/>
  <c r="V9" i="2"/>
  <c r="U9" i="2"/>
  <c r="T9" i="2"/>
  <c r="S9" i="2"/>
  <c r="R9" i="2"/>
  <c r="Q9" i="2"/>
  <c r="P9" i="2"/>
  <c r="O9" i="2"/>
  <c r="N9" i="2"/>
  <c r="M9" i="2"/>
  <c r="L9" i="2"/>
  <c r="K9" i="2"/>
  <c r="J9" i="2"/>
  <c r="I9" i="2"/>
  <c r="H9" i="2"/>
  <c r="G9" i="2"/>
  <c r="F9" i="2"/>
  <c r="E9" i="2"/>
  <c r="D9" i="2"/>
  <c r="AC8" i="2"/>
  <c r="AB8" i="2"/>
  <c r="AA8" i="2"/>
  <c r="Z8" i="2"/>
  <c r="Y8" i="2"/>
  <c r="X8" i="2"/>
  <c r="W8" i="2"/>
  <c r="V8" i="2"/>
  <c r="U8" i="2"/>
  <c r="T8" i="2"/>
  <c r="S8" i="2"/>
  <c r="R8" i="2"/>
  <c r="Q8" i="2"/>
  <c r="P8" i="2"/>
  <c r="O8" i="2"/>
  <c r="N8" i="2"/>
  <c r="M8" i="2"/>
  <c r="L8" i="2"/>
  <c r="K8" i="2"/>
  <c r="J8" i="2"/>
  <c r="I8" i="2"/>
  <c r="H8" i="2"/>
  <c r="G8" i="2"/>
  <c r="F8" i="2"/>
  <c r="E8" i="2"/>
  <c r="D8" i="2"/>
  <c r="D10" i="3" l="1"/>
  <c r="D73" i="3"/>
  <c r="D71" i="3" s="1"/>
  <c r="K192" i="3"/>
  <c r="K9" i="3" s="1"/>
  <c r="D9" i="3" l="1"/>
</calcChain>
</file>

<file path=xl/sharedStrings.xml><?xml version="1.0" encoding="utf-8"?>
<sst xmlns="http://schemas.openxmlformats.org/spreadsheetml/2006/main" count="877" uniqueCount="703">
  <si>
    <t>ЗАТВЕРДЖЕНО</t>
  </si>
  <si>
    <t xml:space="preserve">Наказ Міністерства молоді    </t>
  </si>
  <si>
    <t xml:space="preserve">та спорту України </t>
  </si>
  <si>
    <t xml:space="preserve">14 листопада 2024 року № 7162 </t>
  </si>
  <si>
    <t xml:space="preserve">(у редакції наказу Міністерства   </t>
  </si>
  <si>
    <t xml:space="preserve">молоді та спорту України </t>
  </si>
  <si>
    <t xml:space="preserve">від 21 листопада 2025 року 
</t>
  </si>
  <si>
    <t>№ 7491)</t>
  </si>
  <si>
    <t>Респондент*:</t>
  </si>
  <si>
    <t xml:space="preserve"> Звітність </t>
  </si>
  <si>
    <r>
      <t xml:space="preserve">Звіт </t>
    </r>
    <r>
      <rPr>
        <b/>
        <sz val="12"/>
        <rFont val="Times New Roman"/>
      </rPr>
      <t>із</t>
    </r>
    <r>
      <rPr>
        <b/>
        <sz val="12"/>
        <rFont val="Times New Roman"/>
      </rPr>
      <t xml:space="preserve"> фізичної культури і спорту</t>
    </r>
  </si>
  <si>
    <t xml:space="preserve">                    Чернігівська область</t>
  </si>
  <si>
    <t xml:space="preserve">станом на 01 січня 2026 року </t>
  </si>
  <si>
    <r>
      <t>Подають</t>
    </r>
    <r>
      <rPr>
        <sz val="11"/>
        <color indexed="2"/>
        <rFont val="Times New Roman"/>
      </rPr>
      <t>:</t>
    </r>
  </si>
  <si>
    <r>
      <rPr>
        <sz val="11"/>
        <rFont val="Times New Roman"/>
      </rPr>
      <t>Терміни</t>
    </r>
    <r>
      <rPr>
        <sz val="11"/>
        <rFont val="Times New Roman"/>
      </rPr>
      <t xml:space="preserve"> подання</t>
    </r>
  </si>
  <si>
    <r>
      <rPr>
        <b/>
        <sz val="11"/>
        <rFont val="Times New Roman"/>
      </rPr>
      <t xml:space="preserve">Форма № 2-ФК 
(річна) </t>
    </r>
    <r>
      <rPr>
        <sz val="11"/>
        <rFont val="Times New Roman"/>
      </rPr>
      <t xml:space="preserve">
                                                                   ЗАТВЕРДЖЕНО                                      
Наказ Міністерства молоді та спорту України 
 14 листопада 2024 року № 7162                                  (у редакції наказу Міністерства молоді та спорту України              від 21 листопада 2025 року            № 7491)
                                                                             за погодженням з Держстатом, ДРС, МОН, МВС, Мінцифри, Міноборони, Уповноваженим Верховної Ради України з прав людини, НКСІУ, ВАГ, АМУ, УАРОР, ВАОМС "Асоціація ОТГ"</t>
    </r>
  </si>
  <si>
    <t>Заклади освіти – органам управління освіти сільських, селищних, міських територіальних громад</t>
  </si>
  <si>
    <t>не пізніше  
10 січня року, 
наступного за звітним</t>
  </si>
  <si>
    <t>Підприємства, установи, організації – органам управління фізичної культури і спорту сільських, селищних, міських територіальних громад</t>
  </si>
  <si>
    <t>Заклади фізичної культури і спорту Міноборони – Відділу фізичної культури і спорту Міноборони</t>
  </si>
  <si>
    <t xml:space="preserve">Органи управління освіти, фізичної культури і спорту сільських, селищних, міських територіальних громад, місцеві осередки громадських об’єднань фізкультурно-спортивної спрямованості, місцеві центри "Інваспорт", місцеві центри фізичного здоров’я населення – структурним підрозділам освіти, охорони здоров’я, культури, спорту райдержадміністрацій
</t>
  </si>
  <si>
    <t>не пізніше 
01 лютого року, 
наступного за звітним</t>
  </si>
  <si>
    <t xml:space="preserve">Структурні підрозділи освіти, охорони здоров’я, культури, спорту райдержадміністрацій, регіональні осередки громадських об’єднань фізкультурно-спортивної спрямованості, регіональні центри "Інваспорт", регіональні центри фізичного здоров’я населення – структурним підрозділам молоді та спорту облдержадміністрацій
</t>
  </si>
  <si>
    <t>не пізніше  
01 березня року, 
наступного за звітним</t>
  </si>
  <si>
    <r>
      <t xml:space="preserve">Cтруктурні підрозділи молоді та спорту облдержадміністрацій – Мінмолодьспорту
</t>
    </r>
    <r>
      <rPr>
        <strike/>
        <sz val="11"/>
        <rFont val="Times New Roman"/>
      </rPr>
      <t/>
    </r>
  </si>
  <si>
    <t>не пізніше 
25 березня року, 
наступного за звітним</t>
  </si>
  <si>
    <t>Укрцентр "Інваспорт", ВЦФЗН "Агенція учнівського, студентського та масового спорту України", Відділ фізичної культури і спорту Міноборони, Управління "Укрспортзабезпечення", центральні організації громадських об’єднань фізкультурно-спортивної спрямованості – Мінмолодьспорту</t>
  </si>
  <si>
    <t>Респондент:    Департамент сімї, молоді та спорту Чернігівської обласної державної адміністрації</t>
  </si>
  <si>
    <r>
      <t xml:space="preserve">Найменування юридичної особи/Прізвище, ім’я, по батькові (за наявності) фізичної особи: </t>
    </r>
    <r>
      <rPr>
        <b/>
        <sz val="11"/>
        <rFont val="Times New Roman"/>
      </rPr>
      <t>Департамент сімї, молоді</t>
    </r>
  </si>
  <si>
    <t>та спорту Чернігівської обласної державної адміністрації</t>
  </si>
  <si>
    <t>Місцезнаходження / Адреса зареєстрованого / задекларованого місця проживання (перебування): ___________________________________________________________________________</t>
  </si>
  <si>
    <t>14000, Чернінівська область, Чернігівський район, місто Чернігів, проспект Миру, буд. 14</t>
  </si>
  <si>
    <t>(поштовий індекс, АР Крим, область, район, населений пункт, вулиця/провулок, площа тощо, № будинку/корпусу, № квартири/офіса)</t>
  </si>
  <si>
    <t>*Зазначається ідентифікаційний код за ЄДРПОУ платника податку або реєстраційний (обліковий) номер платника податків, який присвоюється контролюючими органами, або реєстраційний номер облікової картки платника податків - фізичної особи. Серію (за наявності) та номер паспорта зазначають фізичні особи, які через свої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t>
  </si>
  <si>
    <t xml:space="preserve"> І. Спортивні споруди </t>
  </si>
  <si>
    <t>№ рядка</t>
  </si>
  <si>
    <t>Кількість спортивних споруд, усього, одиниць</t>
  </si>
  <si>
    <t>Кількість спортивних споруд за формою власності, одиниць</t>
  </si>
  <si>
    <t>Кількість спортивних споруд, 
які перебувають у підпорядкуванні, одиниць</t>
  </si>
  <si>
    <t>Із кількості спортивних споруд (із графи 1), одиниць</t>
  </si>
  <si>
    <t>Кількість спортивних споруд за станом (із графи 1), одиниць</t>
  </si>
  <si>
    <t>Одночасна пропускна спроможність, осіб</t>
  </si>
  <si>
    <t xml:space="preserve">Середня кількість відвідувачів в день, осіб </t>
  </si>
  <si>
    <t>державна</t>
  </si>
  <si>
    <t>комунальна</t>
  </si>
  <si>
    <t xml:space="preserve">приватна </t>
  </si>
  <si>
    <t xml:space="preserve">  закладів освіти                                    </t>
  </si>
  <si>
    <t>фізкультурно-спортивних товариств</t>
  </si>
  <si>
    <t>відомчих фізкультурно-спортивних організацій</t>
  </si>
  <si>
    <t>ДЮСШ</t>
  </si>
  <si>
    <t>ШВСМ</t>
  </si>
  <si>
    <t>ЦОП</t>
  </si>
  <si>
    <t>закладів спеціалізованої освіти спортивного профілю із специфічними умовами навчання</t>
  </si>
  <si>
    <t>підприємства</t>
  </si>
  <si>
    <t>установи</t>
  </si>
  <si>
    <t>організації</t>
  </si>
  <si>
    <t xml:space="preserve">пристосовані для занять осіб з інвалідністю, маломобільних груп населення та ветеранів війни  </t>
  </si>
  <si>
    <t>мають укриття</t>
  </si>
  <si>
    <t>діючі</t>
  </si>
  <si>
    <t>діючі частково</t>
  </si>
  <si>
    <t>не діючі</t>
  </si>
  <si>
    <t>новозбудовані та прийняті в експлуатацію</t>
  </si>
  <si>
    <t>будівництво</t>
  </si>
  <si>
    <t>капітальний ремонт</t>
  </si>
  <si>
    <t>реконструкція</t>
  </si>
  <si>
    <t>поточний ремонт</t>
  </si>
  <si>
    <t>А</t>
  </si>
  <si>
    <t>Б</t>
  </si>
  <si>
    <t>1</t>
  </si>
  <si>
    <t>2</t>
  </si>
  <si>
    <t>3</t>
  </si>
  <si>
    <t>4</t>
  </si>
  <si>
    <t>5</t>
  </si>
  <si>
    <t>6</t>
  </si>
  <si>
    <t>7</t>
  </si>
  <si>
    <t>8</t>
  </si>
  <si>
    <t>9</t>
  </si>
  <si>
    <t>10</t>
  </si>
  <si>
    <t>11</t>
  </si>
  <si>
    <t>12</t>
  </si>
  <si>
    <t>13</t>
  </si>
  <si>
    <t>14</t>
  </si>
  <si>
    <t>15</t>
  </si>
  <si>
    <t>16</t>
  </si>
  <si>
    <t>17</t>
  </si>
  <si>
    <t>18</t>
  </si>
  <si>
    <t>19</t>
  </si>
  <si>
    <t>20</t>
  </si>
  <si>
    <t>21</t>
  </si>
  <si>
    <t>22</t>
  </si>
  <si>
    <t>23</t>
  </si>
  <si>
    <t>24</t>
  </si>
  <si>
    <t>25</t>
  </si>
  <si>
    <t xml:space="preserve">Усього (сума рядків 2, 3)
</t>
  </si>
  <si>
    <t xml:space="preserve">Комплексні спортивні споруди, усього </t>
  </si>
  <si>
    <r>
      <t xml:space="preserve">    до складу яких входять 
           стадіони з трибунами на 1500</t>
    </r>
    <r>
      <rPr>
        <sz val="9"/>
        <rFont val="Calibri"/>
      </rPr>
      <t>−</t>
    </r>
    <r>
      <rPr>
        <sz val="9"/>
        <rFont val="Times New Roman"/>
      </rPr>
      <t>3000 місць</t>
    </r>
  </si>
  <si>
    <t>2.1</t>
  </si>
  <si>
    <t>150</t>
  </si>
  <si>
    <t xml:space="preserve">   стадіони з трибунами від 3000 місць і більше</t>
  </si>
  <si>
    <t>2.2</t>
  </si>
  <si>
    <t>285</t>
  </si>
  <si>
    <t xml:space="preserve">          легкоатлетичні ядра (арени), що не входять 
          до складу стадіонів </t>
  </si>
  <si>
    <t>2.3</t>
  </si>
  <si>
    <t xml:space="preserve">          легкоатлетичні манежі</t>
  </si>
  <si>
    <t>2.4</t>
  </si>
  <si>
    <t xml:space="preserve">          площинні спортивні споруди</t>
  </si>
  <si>
    <t>2.5</t>
  </si>
  <si>
    <t xml:space="preserve">          з них: 
          спортивні майданчики з тренажерним 
          обладнанням </t>
  </si>
  <si>
    <t>2.5.1</t>
  </si>
  <si>
    <t>45</t>
  </si>
  <si>
    <t xml:space="preserve">          тенісні корти</t>
  </si>
  <si>
    <t>2.5.2</t>
  </si>
  <si>
    <t xml:space="preserve">          футбольні поля</t>
  </si>
  <si>
    <t>2.5.3</t>
  </si>
  <si>
    <t xml:space="preserve">                з них: 
                розміром 100-110 х 64-75 м</t>
  </si>
  <si>
    <t>2.5.3.1</t>
  </si>
  <si>
    <t>256</t>
  </si>
  <si>
    <t xml:space="preserve">                42 х 22 м</t>
  </si>
  <si>
    <t>2.5.3.2</t>
  </si>
  <si>
    <t>48</t>
  </si>
  <si>
    <t xml:space="preserve">            мультимайданчики</t>
  </si>
  <si>
    <t>2.5.4</t>
  </si>
  <si>
    <r>
      <t xml:space="preserve">            з них:
           </t>
    </r>
    <r>
      <rPr>
        <sz val="9"/>
        <rFont val="Times New Roman"/>
      </rPr>
      <t xml:space="preserve"> зі</t>
    </r>
    <r>
      <rPr>
        <sz val="9"/>
        <rFont val="Times New Roman"/>
      </rPr>
      <t xml:space="preserve"> штучним покриттям</t>
    </r>
  </si>
  <si>
    <t>2.5.4.1</t>
  </si>
  <si>
    <t>інші спортивні майданчики</t>
  </si>
  <si>
    <t>2.5.5</t>
  </si>
  <si>
    <t>60</t>
  </si>
  <si>
    <t xml:space="preserve">            з них:
            зі штучним покриттям</t>
  </si>
  <si>
    <t>2.5.5.1</t>
  </si>
  <si>
    <r>
      <t>спортивні зали площею не менше 162 м</t>
    </r>
    <r>
      <rPr>
        <vertAlign val="superscript"/>
        <sz val="9"/>
        <rFont val="Times New Roman"/>
      </rPr>
      <t>2</t>
    </r>
  </si>
  <si>
    <t>2.6</t>
  </si>
  <si>
    <t xml:space="preserve">           з них: 
           з тренажерним обладанням</t>
  </si>
  <si>
    <t>2.6.1</t>
  </si>
  <si>
    <t>плавальні басейни</t>
  </si>
  <si>
    <t>2.7</t>
  </si>
  <si>
    <t>з них: 
50-метрові (50 х 25 м)</t>
  </si>
  <si>
    <t>2.7.1</t>
  </si>
  <si>
    <t>25-метрові (25 х 16 м; 25 х 11 м)</t>
  </si>
  <si>
    <t>2.7.2</t>
  </si>
  <si>
    <t>інші</t>
  </si>
  <si>
    <t>2.7.3</t>
  </si>
  <si>
    <t xml:space="preserve">       стрілецькі тири криті і напіввідкриті на 
       дистанцію не менше 25 метрів</t>
  </si>
  <si>
    <t>2.8</t>
  </si>
  <si>
    <t xml:space="preserve">       стрілецькі стенди (круглі, траншейні)</t>
  </si>
  <si>
    <t>2.9</t>
  </si>
  <si>
    <t xml:space="preserve">       біатлонні стрільбища</t>
  </si>
  <si>
    <t>2.10</t>
  </si>
  <si>
    <t xml:space="preserve">       стрільбища для стрільби з лука</t>
  </si>
  <si>
    <t>2.11</t>
  </si>
  <si>
    <t xml:space="preserve">       велотреки</t>
  </si>
  <si>
    <t>2.12</t>
  </si>
  <si>
    <t xml:space="preserve">       споруди зі штучним льодом</t>
  </si>
  <si>
    <t>2.13</t>
  </si>
  <si>
    <t xml:space="preserve">   </t>
  </si>
  <si>
    <t xml:space="preserve">       лижні бази</t>
  </si>
  <si>
    <t>2.14</t>
  </si>
  <si>
    <t xml:space="preserve">       інші спортивні споруди</t>
  </si>
  <si>
    <t>2.15</t>
  </si>
  <si>
    <t xml:space="preserve">Окремі спортивні споруди, усього </t>
  </si>
  <si>
    <t xml:space="preserve">
       стадіони з трибунами на 1500−3000 місць</t>
  </si>
  <si>
    <t>3.1</t>
  </si>
  <si>
    <t>стадіони з трибунами від 3000 місць і більше</t>
  </si>
  <si>
    <t>3.2</t>
  </si>
  <si>
    <t xml:space="preserve">        легкоатлетичні ядра (арени), що не входять 
       до складу стадіонів </t>
  </si>
  <si>
    <t>3.3</t>
  </si>
  <si>
    <t xml:space="preserve">       легкоатлетичні манежі</t>
  </si>
  <si>
    <t>3.4</t>
  </si>
  <si>
    <t xml:space="preserve">       площинні спортивні споруди</t>
  </si>
  <si>
    <t>3.5</t>
  </si>
  <si>
    <t xml:space="preserve">            з них: 
            спортивні майданчики з тренажерним
            обладнанням </t>
  </si>
  <si>
    <t>3.5.1</t>
  </si>
  <si>
    <t xml:space="preserve">            тенісні корти</t>
  </si>
  <si>
    <t>3.5.2</t>
  </si>
  <si>
    <t xml:space="preserve">      </t>
  </si>
  <si>
    <t xml:space="preserve">            футбольні поля</t>
  </si>
  <si>
    <t>3.5.3</t>
  </si>
  <si>
    <t>3.5.3.1</t>
  </si>
  <si>
    <t>3.5.3.2</t>
  </si>
  <si>
    <t xml:space="preserve">           мультимайданчики</t>
  </si>
  <si>
    <t>3.5.4</t>
  </si>
  <si>
    <t xml:space="preserve">           з них:
           зі штучним покриттям</t>
  </si>
  <si>
    <t>3.5.4.1</t>
  </si>
  <si>
    <t xml:space="preserve">           інші спортивні майданчики</t>
  </si>
  <si>
    <t>3.5.5</t>
  </si>
  <si>
    <t>3.5.5.1</t>
  </si>
  <si>
    <r>
      <t xml:space="preserve">       спортивні зали площею не менше 162 м</t>
    </r>
    <r>
      <rPr>
        <vertAlign val="superscript"/>
        <sz val="9"/>
        <rFont val="Times New Roman"/>
      </rPr>
      <t>2</t>
    </r>
  </si>
  <si>
    <t>3.6</t>
  </si>
  <si>
    <t xml:space="preserve">           з них: з тренажерним обладнанням</t>
  </si>
  <si>
    <t>3.6.1</t>
  </si>
  <si>
    <t xml:space="preserve">       плавальні басейни</t>
  </si>
  <si>
    <t>3.7</t>
  </si>
  <si>
    <t xml:space="preserve">           з них: 
          50-метрові (50 х 25 м)</t>
  </si>
  <si>
    <t>3.7.1</t>
  </si>
  <si>
    <t xml:space="preserve">          25-метрові (25 х 16 м; 25 х 11 м)</t>
  </si>
  <si>
    <t>3.7.2</t>
  </si>
  <si>
    <t xml:space="preserve">          інші</t>
  </si>
  <si>
    <t>3.7.3</t>
  </si>
  <si>
    <t>3.8</t>
  </si>
  <si>
    <t>3.9</t>
  </si>
  <si>
    <t>3.10</t>
  </si>
  <si>
    <t>3.11</t>
  </si>
  <si>
    <t>3.12</t>
  </si>
  <si>
    <t xml:space="preserve">       кінноспортивні бази</t>
  </si>
  <si>
    <t>3.13</t>
  </si>
  <si>
    <t>3.14</t>
  </si>
  <si>
    <t xml:space="preserve">       веслувально-спортивні бази
       (у т.ч. водноспортивні бази)</t>
  </si>
  <si>
    <t>3.15</t>
  </si>
  <si>
    <t xml:space="preserve">       веслувальні канали</t>
  </si>
  <si>
    <t>3.16</t>
  </si>
  <si>
    <t xml:space="preserve">       трампліни лижні</t>
  </si>
  <si>
    <t>3.17</t>
  </si>
  <si>
    <t xml:space="preserve">        з них: для фристайла</t>
  </si>
  <si>
    <t>3.17.1</t>
  </si>
  <si>
    <t>3.18</t>
  </si>
  <si>
    <t>3.19</t>
  </si>
  <si>
    <t xml:space="preserve"> IІ.  Спортивна діяльність </t>
  </si>
  <si>
    <t>(осіб)</t>
  </si>
  <si>
    <t>Кількість 
осіб, які займаються спортом, усього</t>
  </si>
  <si>
    <t>У тому числі з них у</t>
  </si>
  <si>
    <t xml:space="preserve">Із 
кількості осіб, які займаються спортом, (із графи 1) –  жінок          </t>
  </si>
  <si>
    <t>Кількість працівників фізичної культури і спорту, які проводять заняття,  усього</t>
  </si>
  <si>
    <t>З них</t>
  </si>
  <si>
    <t>закладах спеціалізованої освіти 
спортивного профілю із 
специфічними умовами навчання</t>
  </si>
  <si>
    <t>спортивних клубах</t>
  </si>
  <si>
    <t>громадських об’єднаннях фізкультурно-спортивної спрямованості</t>
  </si>
  <si>
    <t>регіональних центрах "Інваспорт"</t>
  </si>
  <si>
    <t xml:space="preserve"> штатні тренери-викладачі з видів спорту</t>
  </si>
  <si>
    <t xml:space="preserve">штатні тренери-викладачі з видів спорту, які проводять заняття у спортивних клубах </t>
  </si>
  <si>
    <t xml:space="preserve">тренери-викладачі з видів спорту, які проводять заняття у спортивних клубах закладів фахової передвищої освіти </t>
  </si>
  <si>
    <t>тренери-викладачі з видів спорту, які проводять заняття у спортивних клубах  закладів вищої освіти</t>
  </si>
  <si>
    <t xml:space="preserve">тренери-викладачі з видів спорту, які мають спеціальну вищу освіту 
з фізичної культури і спорту </t>
  </si>
  <si>
    <t>жінки</t>
  </si>
  <si>
    <r>
      <t>Види спорту, усього (сума рядків 2, 3, 4, 5, 6</t>
    </r>
    <r>
      <rPr>
        <b/>
        <sz val="8"/>
        <rFont val="Times New Roman"/>
      </rPr>
      <t>)</t>
    </r>
  </si>
  <si>
    <t>Олімпійські види спорту</t>
  </si>
  <si>
    <t xml:space="preserve">   у тому числі
    бадмінтон</t>
  </si>
  <si>
    <t xml:space="preserve">    баскетбол</t>
  </si>
  <si>
    <t xml:space="preserve">    бейсбол</t>
  </si>
  <si>
    <t xml:space="preserve">    біатлон</t>
  </si>
  <si>
    <t xml:space="preserve">    бобслей</t>
  </si>
  <si>
    <t xml:space="preserve">    бокс</t>
  </si>
  <si>
    <t xml:space="preserve">    боротьба вільна</t>
  </si>
  <si>
    <t xml:space="preserve">    боротьба греко-римська</t>
  </si>
  <si>
    <t xml:space="preserve">    брейкінг</t>
  </si>
  <si>
    <t xml:space="preserve">
    важка атлетика</t>
  </si>
  <si>
    <t>велосипедний спорт</t>
  </si>
  <si>
    <t>веслувальний слалом</t>
  </si>
  <si>
    <t>веслування академічне</t>
  </si>
  <si>
    <t>веслування на байдарках і каное</t>
  </si>
  <si>
    <t>вітрильний спорт</t>
  </si>
  <si>
    <t>водне поло</t>
  </si>
  <si>
    <t>2.16</t>
  </si>
  <si>
    <t>волейбол</t>
  </si>
  <si>
    <t>2.17</t>
  </si>
  <si>
    <t>волейбол пляжний</t>
  </si>
  <si>
    <t>2.18</t>
  </si>
  <si>
    <t>гандбол</t>
  </si>
  <si>
    <t>2.19</t>
  </si>
  <si>
    <t>гімнастика спортивна</t>
  </si>
  <si>
    <t>2.20</t>
  </si>
  <si>
    <t>гімнастика художня</t>
  </si>
  <si>
    <t>2.21</t>
  </si>
  <si>
    <t>гірськолижний спорт</t>
  </si>
  <si>
    <t>2.22</t>
  </si>
  <si>
    <t>гольф</t>
  </si>
  <si>
    <t>2.23</t>
  </si>
  <si>
    <t>дзюдо</t>
  </si>
  <si>
    <t>2.24</t>
  </si>
  <si>
    <t>кінний спорт</t>
  </si>
  <si>
    <t>2.25</t>
  </si>
  <si>
    <t>ковзанярський спорт</t>
  </si>
  <si>
    <t>2.26</t>
  </si>
  <si>
    <t>кьорлінг</t>
  </si>
  <si>
    <t>2.27</t>
  </si>
  <si>
    <t>лакрос</t>
  </si>
  <si>
    <t>2.28</t>
  </si>
  <si>
    <t>легка атлетика</t>
  </si>
  <si>
    <t>2.29</t>
  </si>
  <si>
    <t>лижне двоборство</t>
  </si>
  <si>
    <t>2.30</t>
  </si>
  <si>
    <t>лижні гонки</t>
  </si>
  <si>
    <t>2.31</t>
  </si>
  <si>
    <t>плавання</t>
  </si>
  <si>
    <t>2.32</t>
  </si>
  <si>
    <t>плавання синхронне</t>
  </si>
  <si>
    <t>2.33</t>
  </si>
  <si>
    <t>регбі</t>
  </si>
  <si>
    <t>2.34</t>
  </si>
  <si>
    <t>санний спорт</t>
  </si>
  <si>
    <t>2.35</t>
  </si>
  <si>
    <t>серфінг</t>
  </si>
  <si>
    <t>2.36</t>
  </si>
  <si>
    <t>сквош</t>
  </si>
  <si>
    <t>2.37</t>
  </si>
  <si>
    <t>скелелазіння</t>
  </si>
  <si>
    <t>2.38</t>
  </si>
  <si>
    <t>скелетон</t>
  </si>
  <si>
    <t>2.39</t>
  </si>
  <si>
    <t>сноубординг</t>
  </si>
  <si>
    <t>2.40</t>
  </si>
  <si>
    <t>софтбол</t>
  </si>
  <si>
    <t>2.41</t>
  </si>
  <si>
    <t>стрибки на батуті</t>
  </si>
  <si>
    <t>2.42</t>
  </si>
  <si>
    <t>стрибки на лижах з трампліна</t>
  </si>
  <si>
    <t>2.43</t>
  </si>
  <si>
    <t>стрибки у воду</t>
  </si>
  <si>
    <t>2.44</t>
  </si>
  <si>
    <t>стрільба з лука</t>
  </si>
  <si>
    <t>2.45</t>
  </si>
  <si>
    <t>стрільба кульова</t>
  </si>
  <si>
    <t>2.46</t>
  </si>
  <si>
    <t>стрільба стендова</t>
  </si>
  <si>
    <t>2.47</t>
  </si>
  <si>
    <t>сучасне п'ятиборство</t>
  </si>
  <si>
    <t>2.48</t>
  </si>
  <si>
    <t>теніс</t>
  </si>
  <si>
    <t>2.49</t>
  </si>
  <si>
    <t>теніс настільний</t>
  </si>
  <si>
    <t>2.50</t>
  </si>
  <si>
    <t>триатлон</t>
  </si>
  <si>
    <t>2.51</t>
  </si>
  <si>
    <t>тхеквондо (ВТФ)</t>
  </si>
  <si>
    <t>2.52</t>
  </si>
  <si>
    <t>фехтування</t>
  </si>
  <si>
    <t>2.53</t>
  </si>
  <si>
    <t>фігурне катання на ковзанах</t>
  </si>
  <si>
    <t>2.54</t>
  </si>
  <si>
    <t>флаг-футбол</t>
  </si>
  <si>
    <t>2.55</t>
  </si>
  <si>
    <t>фристайл</t>
  </si>
  <si>
    <t>2.56</t>
  </si>
  <si>
    <t>футбол</t>
  </si>
  <si>
    <t>2.57</t>
  </si>
  <si>
    <t>хокей з шайбою</t>
  </si>
  <si>
    <t>2.58</t>
  </si>
  <si>
    <t>хокей на траві</t>
  </si>
  <si>
    <t>2.59</t>
  </si>
  <si>
    <t>шорт-трек</t>
  </si>
  <si>
    <t>2.60</t>
  </si>
  <si>
    <t xml:space="preserve">Неолімпійські види спорту </t>
  </si>
  <si>
    <t xml:space="preserve">     у тому числі
     авіамодельний спорт</t>
  </si>
  <si>
    <t>автомобільний спорт</t>
  </si>
  <si>
    <t>автомодельний спорт</t>
  </si>
  <si>
    <t>айкідо</t>
  </si>
  <si>
    <t>аквабайк</t>
  </si>
  <si>
    <t>акробатичний рок-н-рол</t>
  </si>
  <si>
    <t>альпінізм</t>
  </si>
  <si>
    <t>американський футбол</t>
  </si>
  <si>
    <t>армрестлінг</t>
  </si>
  <si>
    <t>багатоборство тілоохоронців</t>
  </si>
  <si>
    <t>більярдний спорт</t>
  </si>
  <si>
    <t>богатирське багатоборство</t>
  </si>
  <si>
    <t>бодібілдинг</t>
  </si>
  <si>
    <t>бойове самбо</t>
  </si>
  <si>
    <t>боротьба Кураш</t>
  </si>
  <si>
    <t>боротьба на поясах</t>
  </si>
  <si>
    <t>боротьба на поясах Алиш</t>
  </si>
  <si>
    <t>боротьба самбо</t>
  </si>
  <si>
    <t>боулінг</t>
  </si>
  <si>
    <t>вейкбординг</t>
  </si>
  <si>
    <t>3.20</t>
  </si>
  <si>
    <t>вертолітний спорт</t>
  </si>
  <si>
    <t>3.21</t>
  </si>
  <si>
    <t>веслування на човнах "Дракон"</t>
  </si>
  <si>
    <t>3.22</t>
  </si>
  <si>
    <t>військово-спортивні багатоборства</t>
  </si>
  <si>
    <t>3.23</t>
  </si>
  <si>
    <t>військово-технологічний спорт</t>
  </si>
  <si>
    <t>3.24</t>
  </si>
  <si>
    <t>воднолижний спорт</t>
  </si>
  <si>
    <t>3.25</t>
  </si>
  <si>
    <t>водно-моторний спорт</t>
  </si>
  <si>
    <t>3.26</t>
  </si>
  <si>
    <t>гирьовий спорт</t>
  </si>
  <si>
    <t>3.27</t>
  </si>
  <si>
    <t>го</t>
  </si>
  <si>
    <t>3.28</t>
  </si>
  <si>
    <t>годзю-рю карате</t>
  </si>
  <si>
    <t>3.29</t>
  </si>
  <si>
    <t>городковий спорт</t>
  </si>
  <si>
    <t>3.30</t>
  </si>
  <si>
    <t>грепплінг</t>
  </si>
  <si>
    <t>3.31</t>
  </si>
  <si>
    <t>дартс</t>
  </si>
  <si>
    <t>3.32</t>
  </si>
  <si>
    <t>дельтапланерний спорт</t>
  </si>
  <si>
    <t>3.33</t>
  </si>
  <si>
    <t>джиу-джитсу</t>
  </si>
  <si>
    <t>3.34</t>
  </si>
  <si>
    <t>естетична групова гімнастика</t>
  </si>
  <si>
    <t>3.35</t>
  </si>
  <si>
    <t>змішані єдиноборства (ММА)</t>
  </si>
  <si>
    <t>3.36</t>
  </si>
  <si>
    <t>кануполо</t>
  </si>
  <si>
    <t>3.37</t>
  </si>
  <si>
    <t>карате</t>
  </si>
  <si>
    <t>3.38</t>
  </si>
  <si>
    <t>карате JKS</t>
  </si>
  <si>
    <t>3.39</t>
  </si>
  <si>
    <t>карате WKC</t>
  </si>
  <si>
    <t>3.40</t>
  </si>
  <si>
    <t>кіберспорт (електронний спорт)</t>
  </si>
  <si>
    <t>3.41</t>
  </si>
  <si>
    <t>кікбоксинг "ІСKA"</t>
  </si>
  <si>
    <t>3.42</t>
  </si>
  <si>
    <t>кікбоксинг WKA</t>
  </si>
  <si>
    <t>3.43</t>
  </si>
  <si>
    <t>кікбоксинг WPKA</t>
  </si>
  <si>
    <t>3.44</t>
  </si>
  <si>
    <t>кікбоксинг WАКО</t>
  </si>
  <si>
    <t>3.45</t>
  </si>
  <si>
    <t>кікбоксинг ВТКА</t>
  </si>
  <si>
    <t>3.46</t>
  </si>
  <si>
    <t>кіокушин БуДо карате</t>
  </si>
  <si>
    <t>3.47</t>
  </si>
  <si>
    <t>кіокушин карате</t>
  </si>
  <si>
    <t>3.48</t>
  </si>
  <si>
    <t>кіокушинкай карате</t>
  </si>
  <si>
    <t>3.49</t>
  </si>
  <si>
    <t>кіокушинкайкан карате</t>
  </si>
  <si>
    <t>3.50</t>
  </si>
  <si>
    <t>кйокушінкаі карате унія</t>
  </si>
  <si>
    <t>3.51</t>
  </si>
  <si>
    <t>комбат Дзю-Дзюцу</t>
  </si>
  <si>
    <t>3.52</t>
  </si>
  <si>
    <t>комбат самозахист ІСО</t>
  </si>
  <si>
    <t>3.53</t>
  </si>
  <si>
    <t xml:space="preserve">         кудо</t>
  </si>
  <si>
    <t>3.54</t>
  </si>
  <si>
    <t xml:space="preserve">         кунгфу</t>
  </si>
  <si>
    <t>3.55</t>
  </si>
  <si>
    <t>літаковий спорт</t>
  </si>
  <si>
    <t>3.56</t>
  </si>
  <si>
    <t>морські багатоборства</t>
  </si>
  <si>
    <t>3.57</t>
  </si>
  <si>
    <t>мотоциклетний спорт</t>
  </si>
  <si>
    <t>3.58</t>
  </si>
  <si>
    <t>падел</t>
  </si>
  <si>
    <t>3.59</t>
  </si>
  <si>
    <t xml:space="preserve">         панкратіон</t>
  </si>
  <si>
    <t>3.60</t>
  </si>
  <si>
    <t>парапланерний спорт</t>
  </si>
  <si>
    <t>3.61</t>
  </si>
  <si>
    <t>парашутний спорт</t>
  </si>
  <si>
    <t>3.62</t>
  </si>
  <si>
    <t>пауерліфтинг</t>
  </si>
  <si>
    <t>3.63</t>
  </si>
  <si>
    <t>пейнтбол</t>
  </si>
  <si>
    <t>3.64</t>
  </si>
  <si>
    <t>перетягування канату</t>
  </si>
  <si>
    <t>3.65</t>
  </si>
  <si>
    <t>петанк</t>
  </si>
  <si>
    <t>3.66</t>
  </si>
  <si>
    <t>підводний спорт</t>
  </si>
  <si>
    <t>3.67</t>
  </si>
  <si>
    <t>планерний спорт</t>
  </si>
  <si>
    <t>3.68</t>
  </si>
  <si>
    <t>пляжна боротьба</t>
  </si>
  <si>
    <t>3.69</t>
  </si>
  <si>
    <t>пляжний гандбол</t>
  </si>
  <si>
    <t>3.70</t>
  </si>
  <si>
    <t>пляжний теніс</t>
  </si>
  <si>
    <t>3.71</t>
  </si>
  <si>
    <t>пляжний футбол</t>
  </si>
  <si>
    <t>3.72</t>
  </si>
  <si>
    <t>повітроплавальний спорт</t>
  </si>
  <si>
    <t>3.73</t>
  </si>
  <si>
    <t>пожежно-прикладний спорт</t>
  </si>
  <si>
    <t>3.74</t>
  </si>
  <si>
    <t>поліатлон</t>
  </si>
  <si>
    <t>3.75</t>
  </si>
  <si>
    <t>практична стрільба</t>
  </si>
  <si>
    <t>3.76</t>
  </si>
  <si>
    <t xml:space="preserve">         професійний бокс</t>
  </si>
  <si>
    <t>3.77</t>
  </si>
  <si>
    <t>радіоспорт</t>
  </si>
  <si>
    <t>3.78</t>
  </si>
  <si>
    <t>ракетомодельний спорт</t>
  </si>
  <si>
    <t>3.79</t>
  </si>
  <si>
    <t>регбіліг</t>
  </si>
  <si>
    <t>3.80</t>
  </si>
  <si>
    <t>риболовний спорт</t>
  </si>
  <si>
    <t>3.81</t>
  </si>
  <si>
    <t>роликовий спорт</t>
  </si>
  <si>
    <t>3.82</t>
  </si>
  <si>
    <t>рукопашний бій</t>
  </si>
  <si>
    <t>3.83</t>
  </si>
  <si>
    <t>середньовічний бій</t>
  </si>
  <si>
    <t>3.84</t>
  </si>
  <si>
    <t>спорт з літаючим диском</t>
  </si>
  <si>
    <t>3.85</t>
  </si>
  <si>
    <t>спорт із собаками</t>
  </si>
  <si>
    <t>3.86</t>
  </si>
  <si>
    <t>спортивна аеробіка</t>
  </si>
  <si>
    <t>3.87</t>
  </si>
  <si>
    <t>спортивна акробатика</t>
  </si>
  <si>
    <t>3.88</t>
  </si>
  <si>
    <t>спортивне орієнтування</t>
  </si>
  <si>
    <t>3.89</t>
  </si>
  <si>
    <t>спортивний бридж</t>
  </si>
  <si>
    <t>3.90</t>
  </si>
  <si>
    <t>спортивний покер</t>
  </si>
  <si>
    <t>3.91</t>
  </si>
  <si>
    <t>спортивний туризм</t>
  </si>
  <si>
    <t>3.92</t>
  </si>
  <si>
    <t xml:space="preserve">         спортивні танці</t>
  </si>
  <si>
    <t>3.93</t>
  </si>
  <si>
    <t>спортінг</t>
  </si>
  <si>
    <t>3.94</t>
  </si>
  <si>
    <t>стронгмен</t>
  </si>
  <si>
    <t>3.95</t>
  </si>
  <si>
    <t>судномодельний спорт</t>
  </si>
  <si>
    <t>3.96</t>
  </si>
  <si>
    <t>сумо</t>
  </si>
  <si>
    <t>3.97</t>
  </si>
  <si>
    <t>таеквон-До</t>
  </si>
  <si>
    <t>3.98</t>
  </si>
  <si>
    <t>таеквон-до І.Т.Ф.</t>
  </si>
  <si>
    <t>3.99</t>
  </si>
  <si>
    <t>таїландський бокс Муей Тай</t>
  </si>
  <si>
    <t>3.100</t>
  </si>
  <si>
    <t>танцювальний спорт</t>
  </si>
  <si>
    <t>3.101</t>
  </si>
  <si>
    <t>текбол</t>
  </si>
  <si>
    <t>3.102</t>
  </si>
  <si>
    <t>традиційне карате</t>
  </si>
  <si>
    <t>3.103</t>
  </si>
  <si>
    <t xml:space="preserve">         універсальний бій</t>
  </si>
  <si>
    <t>3.104</t>
  </si>
  <si>
    <t>ушу</t>
  </si>
  <si>
    <t>3.105</t>
  </si>
  <si>
    <t>флорбол</t>
  </si>
  <si>
    <t>3.106</t>
  </si>
  <si>
    <t>французький бокс Сават</t>
  </si>
  <si>
    <t>3.107</t>
  </si>
  <si>
    <t>фрі-файт</t>
  </si>
  <si>
    <t>3.108</t>
  </si>
  <si>
    <t>фунакоші шотокан карате</t>
  </si>
  <si>
    <t>3.109</t>
  </si>
  <si>
    <t>футзал</t>
  </si>
  <si>
    <t>3.110</t>
  </si>
  <si>
    <t>черліденг</t>
  </si>
  <si>
    <t>3.111</t>
  </si>
  <si>
    <t>шахи</t>
  </si>
  <si>
    <t>3.112</t>
  </si>
  <si>
    <t>шашки</t>
  </si>
  <si>
    <t>3.113</t>
  </si>
  <si>
    <t xml:space="preserve">         шотокан карате-до С.К.І.Ф</t>
  </si>
  <si>
    <t>3.114</t>
  </si>
  <si>
    <t>\</t>
  </si>
  <si>
    <t>Національні види спорту</t>
  </si>
  <si>
    <t>козацький двобій</t>
  </si>
  <si>
    <t>4.1</t>
  </si>
  <si>
    <t>рукопаш гопак</t>
  </si>
  <si>
    <t>4.2</t>
  </si>
  <si>
    <t>українська боротьба на поясах</t>
  </si>
  <si>
    <t>4.3</t>
  </si>
  <si>
    <t>український рукопаш "Спас"</t>
  </si>
  <si>
    <t>4.4</t>
  </si>
  <si>
    <t>хортинг</t>
  </si>
  <si>
    <t>4.5</t>
  </si>
  <si>
    <t>Види спорту осіб з інвалідністю з ураженням опорно-рухового апарату, порушеннями зору, слуху та розумового і фізичного розвитку</t>
  </si>
  <si>
    <t xml:space="preserve">   у тому числі:
    бадмінтон (пара бадмінтон)</t>
  </si>
  <si>
    <t>5.1</t>
  </si>
  <si>
    <t>баскетбол</t>
  </si>
  <si>
    <t>5.2</t>
  </si>
  <si>
    <t>баскетбол на візках</t>
  </si>
  <si>
    <t>5.3</t>
  </si>
  <si>
    <t>біатлон (пара біатлон)</t>
  </si>
  <si>
    <t>5.4</t>
  </si>
  <si>
    <t>5.5</t>
  </si>
  <si>
    <t>боротьба вільна</t>
  </si>
  <si>
    <t>5.6</t>
  </si>
  <si>
    <t>боротьба греко-римська</t>
  </si>
  <si>
    <t>5.7</t>
  </si>
  <si>
    <t>5.8</t>
  </si>
  <si>
    <t>бочча</t>
  </si>
  <si>
    <t>5.9</t>
  </si>
  <si>
    <t>велосипедний спорт                                                         (пара велосипедний спорт)</t>
  </si>
  <si>
    <t>5.10</t>
  </si>
  <si>
    <t>веслування академічне                                                                                                                                                                                                                                                                                                                                                                                                                                                                                                           (пара веслування академічне)</t>
  </si>
  <si>
    <t>5.11</t>
  </si>
  <si>
    <t>5.12</t>
  </si>
  <si>
    <t>5.13</t>
  </si>
  <si>
    <t>волейбол сидячи</t>
  </si>
  <si>
    <t>5.14</t>
  </si>
  <si>
    <t>5.15</t>
  </si>
  <si>
    <t>гірськолижний спорт                                                                                                                                                                                                                                                                                                                                 (пара гірськолижний спорт)</t>
  </si>
  <si>
    <t>5.16</t>
  </si>
  <si>
    <t>голбол</t>
  </si>
  <si>
    <t>5.17</t>
  </si>
  <si>
    <t>5.18</t>
  </si>
  <si>
    <t>5.19</t>
  </si>
  <si>
    <t>карате (пара карате)</t>
  </si>
  <si>
    <t>5.20</t>
  </si>
  <si>
    <t>керлінг</t>
  </si>
  <si>
    <t>5.21</t>
  </si>
  <si>
    <t>керлінг на візках</t>
  </si>
  <si>
    <t>5.22</t>
  </si>
  <si>
    <t>кінний спорт (пара кінний спорт)</t>
  </si>
  <si>
    <t>5.23</t>
  </si>
  <si>
    <t>легка атлетика (пара легка атлетика)</t>
  </si>
  <si>
    <t>5.24</t>
  </si>
  <si>
    <t>лижні перегони (пара лижні перегони)</t>
  </si>
  <si>
    <t>5.25</t>
  </si>
  <si>
    <t xml:space="preserve">         пара-армрестлінг</t>
  </si>
  <si>
    <t>5.26</t>
  </si>
  <si>
    <t>пара каное</t>
  </si>
  <si>
    <t>5.27</t>
  </si>
  <si>
    <t>пара спортивні танці</t>
  </si>
  <si>
    <t>5.28</t>
  </si>
  <si>
    <t xml:space="preserve">         пара триатлон </t>
  </si>
  <si>
    <t>5.29</t>
  </si>
  <si>
    <t>пауерліфтинг (пара пауерліфтинг)</t>
  </si>
  <si>
    <t>5.30</t>
  </si>
  <si>
    <t>плавання (пара плавання)</t>
  </si>
  <si>
    <t>5.31</t>
  </si>
  <si>
    <t>пляжний волейбол</t>
  </si>
  <si>
    <t>5.32</t>
  </si>
  <si>
    <t>регбі на візках</t>
  </si>
  <si>
    <t>5.33</t>
  </si>
  <si>
    <t>5.34</t>
  </si>
  <si>
    <t>5.35</t>
  </si>
  <si>
    <t>стрільба з лука (пара стрільба з лука)</t>
  </si>
  <si>
    <t>5.36</t>
  </si>
  <si>
    <t>стрільба кульова (пара стрільба кульова)</t>
  </si>
  <si>
    <t>5.37</t>
  </si>
  <si>
    <t>5.38</t>
  </si>
  <si>
    <t>теніс на візках</t>
  </si>
  <si>
    <t>5.39</t>
  </si>
  <si>
    <t>теніс настільний (пара теніс настільний)</t>
  </si>
  <si>
    <t>5.40</t>
  </si>
  <si>
    <t>тхеквондо (пара тхеквондо)</t>
  </si>
  <si>
    <t>5.41</t>
  </si>
  <si>
    <t>фехтування на візках</t>
  </si>
  <si>
    <t>5.42</t>
  </si>
  <si>
    <t>5.43</t>
  </si>
  <si>
    <t>5.44</t>
  </si>
  <si>
    <t>5.45</t>
  </si>
  <si>
    <t>5.46</t>
  </si>
  <si>
    <t>Інші види спорту, які були визнані протягом звітного року</t>
  </si>
  <si>
    <t xml:space="preserve"> ІІІ.  Фізкультурно-оздоровча діяльність</t>
  </si>
  <si>
    <t xml:space="preserve">Кількість закладів освіти, підприємств, установ, організацій, одиниць </t>
  </si>
  <si>
    <t xml:space="preserve">Кількість осіб, які навчаються (працюють) у закладах освіти, на підприємствах, в установах, організаціях, що звітували </t>
  </si>
  <si>
    <t>Кількість осіб, які охоплені фізкультурно-оздоровчою діяльністю,  усього</t>
  </si>
  <si>
    <t>особи у віці</t>
  </si>
  <si>
    <t xml:space="preserve"> жінок</t>
  </si>
  <si>
    <t>осіб з інвалідністю</t>
  </si>
  <si>
    <t>з них</t>
  </si>
  <si>
    <t>до 6 років</t>
  </si>
  <si>
    <r>
      <t xml:space="preserve"> 6</t>
    </r>
    <r>
      <rPr>
        <sz val="8"/>
        <rFont val="Calibri"/>
      </rPr>
      <t>−</t>
    </r>
    <r>
      <rPr>
        <sz val="8"/>
        <rFont val="Times New Roman"/>
      </rPr>
      <t>18 років</t>
    </r>
  </si>
  <si>
    <r>
      <t>19</t>
    </r>
    <r>
      <rPr>
        <sz val="8"/>
        <rFont val="Calibri"/>
      </rPr>
      <t>−</t>
    </r>
    <r>
      <rPr>
        <sz val="8"/>
        <rFont val="Times New Roman"/>
      </rPr>
      <t xml:space="preserve">35 років </t>
    </r>
  </si>
  <si>
    <t>36 років та старше</t>
  </si>
  <si>
    <t xml:space="preserve">жінок            </t>
  </si>
  <si>
    <r>
      <t>Заклади освіти, підприємства, установи, організації усіх типів (сума рядків 1.1</t>
    </r>
    <r>
      <rPr>
        <sz val="8"/>
        <rFont val="Calibri"/>
      </rPr>
      <t>−</t>
    </r>
    <r>
      <rPr>
        <sz val="8"/>
        <rFont val="Times New Roman"/>
      </rPr>
      <t>1.7, 1.8, 1.9)</t>
    </r>
  </si>
  <si>
    <t xml:space="preserve">    у тому числі 
       заклади дошкільної освіти</t>
  </si>
  <si>
    <t>1.1</t>
  </si>
  <si>
    <t>х</t>
  </si>
  <si>
    <t xml:space="preserve">       заклади загальної середньої освіти</t>
  </si>
  <si>
    <t>1.2</t>
  </si>
  <si>
    <t xml:space="preserve">       заклади професійної (професійно-технічної) освіти</t>
  </si>
  <si>
    <t>1.3</t>
  </si>
  <si>
    <r>
      <t xml:space="preserve">      </t>
    </r>
    <r>
      <rPr>
        <sz val="8"/>
        <rFont val="Times New Roman"/>
      </rPr>
      <t xml:space="preserve"> заклади фахової передвищої освіти </t>
    </r>
  </si>
  <si>
    <t>1.4</t>
  </si>
  <si>
    <r>
      <t xml:space="preserve">       </t>
    </r>
    <r>
      <rPr>
        <sz val="8"/>
        <rFont val="Times New Roman"/>
      </rPr>
      <t xml:space="preserve">заклади вищої освіти </t>
    </r>
  </si>
  <si>
    <t>1.5</t>
  </si>
  <si>
    <t xml:space="preserve">       заклади позашкільної освіти</t>
  </si>
  <si>
    <t>1.6</t>
  </si>
  <si>
    <t xml:space="preserve">       центри фізичного здоров'я населення </t>
  </si>
  <si>
    <t>1.7</t>
  </si>
  <si>
    <t xml:space="preserve">                    з них 
                    Всеукраїнський</t>
  </si>
  <si>
    <t>1.7.1</t>
  </si>
  <si>
    <t xml:space="preserve">                    регіональні</t>
  </si>
  <si>
    <t>1.7.2</t>
  </si>
  <si>
    <t xml:space="preserve">                    районні </t>
  </si>
  <si>
    <t>1.7.3</t>
  </si>
  <si>
    <t xml:space="preserve">                    міські </t>
  </si>
  <si>
    <t>1.7.4</t>
  </si>
  <si>
    <t xml:space="preserve">                    районні у містах </t>
  </si>
  <si>
    <t>1.7.5</t>
  </si>
  <si>
    <t xml:space="preserve">                    селищні</t>
  </si>
  <si>
    <t>1.7.6</t>
  </si>
  <si>
    <t xml:space="preserve">                    сільські</t>
  </si>
  <si>
    <t>1.7.7</t>
  </si>
  <si>
    <t xml:space="preserve">       центри з фізичної культури і спорту осіб з інвалідністю "Інваспорт"</t>
  </si>
  <si>
    <t>1.8</t>
  </si>
  <si>
    <t>1.8.1</t>
  </si>
  <si>
    <t>1.8.2</t>
  </si>
  <si>
    <t>1.8.3</t>
  </si>
  <si>
    <t>1.8.4</t>
  </si>
  <si>
    <t>1.8.5</t>
  </si>
  <si>
    <t>1.8.6</t>
  </si>
  <si>
    <t xml:space="preserve">       інші підприємства, установи, організації </t>
  </si>
  <si>
    <t>1.9</t>
  </si>
  <si>
    <t>з них 
осередків фізкультурно-спортивних товариств</t>
  </si>
  <si>
    <t>1.9.1</t>
  </si>
  <si>
    <t>Андрій ШЕМЕЦЬ</t>
  </si>
  <si>
    <t>(Місце підпису (кваліфікованого електронного підпису) керівника (власника) та/або осіб, відповідальних за заповнення форми звітності)</t>
  </si>
  <si>
    <t>(Власне ім'я ПРІЗВИЩЕ)</t>
  </si>
  <si>
    <t>Сергій АНІСОВЕЦЬ</t>
  </si>
  <si>
    <t>(Місце підпису (кваліфікованого електронного підпису) виконавця)</t>
  </si>
  <si>
    <r>
      <t xml:space="preserve">Телефон: </t>
    </r>
    <r>
      <rPr>
        <b/>
        <sz val="10"/>
        <rFont val="Times New Roman"/>
      </rPr>
      <t>066 685 34 30, 063 570 88 03</t>
    </r>
  </si>
  <si>
    <r>
      <t xml:space="preserve">Електронна адреса:  </t>
    </r>
    <r>
      <rPr>
        <b/>
        <sz val="10"/>
        <rFont val="Times New Roman"/>
      </rPr>
      <t>dsms_post@cg.gov.ua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</si>
</sst>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0"/>
  </numFmts>
  <fonts count="31" x14ac:knownFonts="1">
    <font>
      <sz val="10"/>
      <color theme="1"/>
      <name val="Arial Cyr"/>
    </font>
    <font>
      <b/>
      <sz val="12"/>
      <name val="Times New Roman"/>
    </font>
    <font>
      <sz val="12"/>
      <name val="Times New Roman"/>
    </font>
    <font>
      <sz val="10"/>
      <name val="Times New Roman"/>
    </font>
    <font>
      <sz val="12"/>
      <name val="Arial Cyr"/>
    </font>
    <font>
      <b/>
      <sz val="11"/>
      <name val="Times New Roman"/>
    </font>
    <font>
      <b/>
      <sz val="10"/>
      <name val="Arial Cyr"/>
    </font>
    <font>
      <b/>
      <sz val="12"/>
      <name val="Arial Cyr"/>
    </font>
    <font>
      <sz val="10"/>
      <name val="Arial Cyr"/>
    </font>
    <font>
      <sz val="11"/>
      <name val="Times New Roman"/>
    </font>
    <font>
      <sz val="8"/>
      <name val="Times New Roman"/>
    </font>
    <font>
      <i/>
      <sz val="8"/>
      <name val="Times New Roman"/>
    </font>
    <font>
      <strike/>
      <sz val="8"/>
      <color indexed="2"/>
      <name val="Times New Roman"/>
    </font>
    <font>
      <sz val="8"/>
      <color indexed="2"/>
      <name val="Times New Roman"/>
    </font>
    <font>
      <b/>
      <sz val="8"/>
      <name val="Times New Roman"/>
    </font>
    <font>
      <b/>
      <sz val="9"/>
      <name val="Times New Roman"/>
    </font>
    <font>
      <sz val="9"/>
      <name val="Times New Roman"/>
    </font>
    <font>
      <b/>
      <sz val="11"/>
      <color rgb="FF0070C0"/>
      <name val="Times New Roman"/>
    </font>
    <font>
      <b/>
      <sz val="10"/>
      <name val="Times New Roman"/>
    </font>
    <font>
      <b/>
      <sz val="10"/>
      <color rgb="FF0070C0"/>
      <name val="Times New Roman"/>
    </font>
    <font>
      <sz val="9"/>
      <color theme="1"/>
      <name val="Times New Roman"/>
    </font>
    <font>
      <sz val="8"/>
      <name val="Arial Cyr"/>
    </font>
    <font>
      <sz val="8"/>
      <color theme="1"/>
      <name val="Times New Roman"/>
    </font>
    <font>
      <sz val="9"/>
      <name val="Arial Cyr"/>
    </font>
    <font>
      <b/>
      <sz val="8"/>
      <color theme="1"/>
      <name val="Times New Roman"/>
    </font>
    <font>
      <b/>
      <sz val="10"/>
      <color indexed="2"/>
      <name val="Times New Roman"/>
    </font>
    <font>
      <sz val="11"/>
      <color indexed="2"/>
      <name val="Times New Roman"/>
    </font>
    <font>
      <strike/>
      <sz val="11"/>
      <name val="Times New Roman"/>
    </font>
    <font>
      <sz val="9"/>
      <name val="Calibri"/>
    </font>
    <font>
      <vertAlign val="superscript"/>
      <sz val="9"/>
      <name val="Times New Roman"/>
    </font>
    <font>
      <sz val="8"/>
      <name val="Calibri"/>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291">
    <xf numFmtId="0" fontId="0" fillId="0" borderId="0" xfId="0"/>
    <xf numFmtId="0" fontId="0" fillId="0" borderId="0" xfId="0"/>
    <xf numFmtId="0" fontId="2" fillId="0" borderId="0" xfId="0" applyFont="1"/>
    <xf numFmtId="0" fontId="4" fillId="0" borderId="0" xfId="0" applyFont="1"/>
    <xf numFmtId="0" fontId="3" fillId="0" borderId="0" xfId="0" applyFont="1"/>
    <xf numFmtId="0" fontId="5" fillId="0" borderId="0" xfId="0" applyFont="1" applyAlignment="1">
      <alignment horizont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xf numFmtId="0" fontId="7" fillId="0" borderId="0" xfId="0" applyFont="1"/>
    <xf numFmtId="0" fontId="2" fillId="0" borderId="0" xfId="0" applyFont="1" applyAlignment="1">
      <alignment horizontal="center"/>
    </xf>
    <xf numFmtId="0" fontId="8" fillId="0" borderId="0" xfId="0" applyFont="1"/>
    <xf numFmtId="0" fontId="0" fillId="0" borderId="0" xfId="0" applyAlignment="1">
      <alignment horizontal="center"/>
    </xf>
    <xf numFmtId="0" fontId="0" fillId="0" borderId="11" xfId="0" applyBorder="1"/>
    <xf numFmtId="0" fontId="10" fillId="0" borderId="0" xfId="0" applyFont="1"/>
    <xf numFmtId="0" fontId="10" fillId="0" borderId="0" xfId="0" applyFont="1" applyAlignment="1">
      <alignment horizontal="center"/>
    </xf>
    <xf numFmtId="0" fontId="10" fillId="0" borderId="0" xfId="0" applyFont="1" applyAlignment="1">
      <alignment horizontal="right"/>
    </xf>
    <xf numFmtId="0" fontId="10" fillId="0" borderId="0" xfId="0" applyFont="1" applyAlignment="1">
      <alignment wrapText="1"/>
    </xf>
    <xf numFmtId="49" fontId="14" fillId="0" borderId="1" xfId="0" applyNumberFormat="1" applyFont="1" applyBorder="1" applyAlignment="1">
      <alignment horizontal="center" vertical="center" textRotation="90" wrapText="1"/>
    </xf>
    <xf numFmtId="49" fontId="14" fillId="0" borderId="0" xfId="0" applyNumberFormat="1" applyFont="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textRotation="90" wrapText="1"/>
    </xf>
    <xf numFmtId="0" fontId="14" fillId="0" borderId="4" xfId="0" applyFont="1" applyBorder="1" applyAlignment="1">
      <alignment horizontal="center" vertical="center" textRotation="90" wrapText="1"/>
    </xf>
    <xf numFmtId="0" fontId="14" fillId="0" borderId="15" xfId="0" applyFont="1" applyBorder="1" applyAlignment="1">
      <alignment horizontal="center" vertical="center" textRotation="90" wrapText="1"/>
    </xf>
    <xf numFmtId="0" fontId="14" fillId="0" borderId="0" xfId="0" applyFont="1" applyAlignment="1">
      <alignment horizontal="center" vertical="center" textRotation="90" wrapText="1"/>
    </xf>
    <xf numFmtId="49" fontId="10" fillId="0" borderId="0" xfId="0" applyNumberFormat="1" applyFont="1" applyAlignment="1">
      <alignment horizontal="center" vertical="center" wrapText="1"/>
    </xf>
    <xf numFmtId="49" fontId="14" fillId="0" borderId="2" xfId="0"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49" fontId="16" fillId="0" borderId="2" xfId="0" applyNumberFormat="1" applyFont="1" applyBorder="1" applyAlignment="1">
      <alignment horizontal="left" vertical="center" wrapText="1"/>
    </xf>
    <xf numFmtId="49" fontId="16" fillId="0" borderId="4" xfId="0" applyNumberFormat="1" applyFont="1" applyBorder="1" applyAlignment="1">
      <alignment horizontal="left" vertical="center" wrapText="1"/>
    </xf>
    <xf numFmtId="49" fontId="10"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wrapText="1"/>
    </xf>
    <xf numFmtId="164" fontId="5" fillId="0" borderId="1" xfId="0" applyNumberFormat="1" applyFont="1" applyBorder="1" applyAlignment="1">
      <alignment horizontal="center" vertical="center" wrapText="1"/>
    </xf>
    <xf numFmtId="49" fontId="16" fillId="0" borderId="4" xfId="0" applyNumberFormat="1" applyFont="1" applyBorder="1" applyAlignment="1">
      <alignment horizontal="justify" vertical="center" wrapText="1"/>
    </xf>
    <xf numFmtId="1" fontId="5" fillId="0" borderId="2" xfId="0" applyNumberFormat="1" applyFont="1" applyBorder="1" applyAlignment="1">
      <alignment horizontal="center" vertical="center" wrapText="1"/>
    </xf>
    <xf numFmtId="49" fontId="16" fillId="0" borderId="10" xfId="0" applyNumberFormat="1" applyFont="1" applyBorder="1" applyAlignment="1">
      <alignment horizontal="justify" vertical="center" wrapText="1"/>
    </xf>
    <xf numFmtId="164" fontId="5" fillId="0" borderId="2"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9" fontId="10" fillId="0" borderId="4" xfId="0" applyNumberFormat="1" applyFont="1" applyBorder="1" applyAlignment="1">
      <alignment horizontal="center" vertical="center" wrapText="1"/>
    </xf>
    <xf numFmtId="49" fontId="16" fillId="0" borderId="9" xfId="0" applyNumberFormat="1" applyFont="1" applyBorder="1" applyAlignment="1">
      <alignment horizontal="left" vertical="center" wrapText="1"/>
    </xf>
    <xf numFmtId="1" fontId="3" fillId="0" borderId="1" xfId="0" applyNumberFormat="1" applyFont="1" applyBorder="1" applyAlignment="1">
      <alignment horizontal="center" vertical="center" wrapText="1"/>
    </xf>
    <xf numFmtId="49" fontId="18" fillId="0" borderId="1" xfId="0" applyNumberFormat="1" applyFont="1" applyBorder="1" applyAlignment="1">
      <alignment horizontal="center" vertical="center" wrapText="1"/>
    </xf>
    <xf numFmtId="49" fontId="18" fillId="0" borderId="2" xfId="0" applyNumberFormat="1" applyFont="1" applyBorder="1" applyAlignment="1">
      <alignment horizontal="center" vertical="center" wrapText="1"/>
    </xf>
    <xf numFmtId="49" fontId="19" fillId="0" borderId="1" xfId="0" applyNumberFormat="1" applyFont="1" applyBorder="1" applyAlignment="1">
      <alignment horizontal="center" vertical="center" wrapText="1"/>
    </xf>
    <xf numFmtId="0" fontId="18" fillId="0" borderId="1" xfId="0" applyFont="1" applyBorder="1" applyAlignment="1">
      <alignment wrapText="1"/>
    </xf>
    <xf numFmtId="49" fontId="16" fillId="0" borderId="2" xfId="0" applyNumberFormat="1" applyFont="1" applyBorder="1" applyAlignment="1">
      <alignment horizontal="justify" vertical="center" wrapText="1"/>
    </xf>
    <xf numFmtId="0" fontId="14" fillId="0" borderId="0" xfId="0" applyFont="1" applyAlignment="1">
      <alignment horizontal="center"/>
    </xf>
    <xf numFmtId="3" fontId="5" fillId="0" borderId="1" xfId="0" applyNumberFormat="1" applyFont="1" applyBorder="1" applyAlignment="1">
      <alignment horizontal="center" vertical="center"/>
    </xf>
    <xf numFmtId="3" fontId="9" fillId="0" borderId="1" xfId="0" applyNumberFormat="1" applyFont="1" applyBorder="1" applyAlignment="1">
      <alignment horizontal="center" vertical="center"/>
    </xf>
    <xf numFmtId="0" fontId="5" fillId="0" borderId="1" xfId="0" applyFont="1" applyBorder="1"/>
    <xf numFmtId="3" fontId="17" fillId="0" borderId="1" xfId="0" applyNumberFormat="1" applyFont="1" applyBorder="1" applyAlignment="1">
      <alignment horizontal="center" vertical="center"/>
    </xf>
    <xf numFmtId="0" fontId="17" fillId="0" borderId="1" xfId="0" applyFont="1" applyBorder="1"/>
    <xf numFmtId="3" fontId="10" fillId="0" borderId="0" xfId="0" applyNumberFormat="1" applyFont="1"/>
    <xf numFmtId="49" fontId="20" fillId="0" borderId="10" xfId="0" applyNumberFormat="1" applyFont="1" applyBorder="1" applyAlignment="1">
      <alignment horizontal="justify" vertical="center" wrapText="1"/>
    </xf>
    <xf numFmtId="0" fontId="16" fillId="0" borderId="2" xfId="0" applyFont="1" applyBorder="1" applyAlignment="1">
      <alignment horizontal="justify" vertical="center"/>
    </xf>
    <xf numFmtId="0" fontId="5" fillId="0" borderId="1" xfId="0" applyFont="1" applyBorder="1" applyAlignment="1">
      <alignment vertical="center"/>
    </xf>
    <xf numFmtId="0" fontId="5" fillId="0" borderId="1" xfId="0" applyFont="1" applyBorder="1" applyAlignment="1">
      <alignment horizontal="center"/>
    </xf>
    <xf numFmtId="3" fontId="5" fillId="0" borderId="13" xfId="0" applyNumberFormat="1" applyFont="1" applyBorder="1" applyAlignment="1">
      <alignment horizontal="center" vertical="center"/>
    </xf>
    <xf numFmtId="1" fontId="18" fillId="0" borderId="1" xfId="0" applyNumberFormat="1" applyFont="1" applyBorder="1" applyAlignment="1">
      <alignment horizontal="center" vertical="center" wrapText="1"/>
    </xf>
    <xf numFmtId="3" fontId="18" fillId="0" borderId="1" xfId="0" applyNumberFormat="1" applyFont="1" applyBorder="1" applyAlignment="1">
      <alignment horizontal="center" vertical="center"/>
    </xf>
    <xf numFmtId="0" fontId="18" fillId="0" borderId="1" xfId="0" applyFont="1" applyBorder="1" applyAlignment="1">
      <alignment horizontal="center" vertical="center"/>
    </xf>
    <xf numFmtId="49" fontId="10" fillId="0" borderId="1" xfId="0" applyNumberFormat="1" applyFont="1" applyBorder="1" applyAlignment="1">
      <alignment horizontal="center" vertical="center"/>
    </xf>
    <xf numFmtId="0" fontId="21" fillId="0" borderId="0" xfId="0" applyFont="1"/>
    <xf numFmtId="0" fontId="21" fillId="0" borderId="0" xfId="0" applyFont="1" applyAlignment="1">
      <alignment horizontal="center" vertical="center"/>
    </xf>
    <xf numFmtId="49" fontId="21" fillId="0" borderId="0" xfId="0" applyNumberFormat="1" applyFont="1" applyAlignment="1">
      <alignment horizontal="center" vertical="center"/>
    </xf>
    <xf numFmtId="49" fontId="4" fillId="0" borderId="0" xfId="0" applyNumberFormat="1" applyFont="1" applyAlignment="1">
      <alignment horizontal="center" vertical="center"/>
    </xf>
    <xf numFmtId="49" fontId="10" fillId="0" borderId="0" xfId="0" applyNumberFormat="1" applyFont="1" applyAlignment="1">
      <alignment horizontal="right" vertical="center"/>
    </xf>
    <xf numFmtId="49" fontId="4" fillId="0" borderId="12" xfId="0" applyNumberFormat="1"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xf>
    <xf numFmtId="0" fontId="23" fillId="0" borderId="0" xfId="0" applyFont="1"/>
    <xf numFmtId="0" fontId="24" fillId="0" borderId="13" xfId="0" applyFont="1" applyBorder="1" applyAlignment="1">
      <alignment horizontal="left" vertical="center" wrapText="1"/>
    </xf>
    <xf numFmtId="164" fontId="18"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0" fontId="14" fillId="0" borderId="13" xfId="0" applyFont="1" applyBorder="1" applyAlignment="1">
      <alignment vertical="center" wrapText="1"/>
    </xf>
    <xf numFmtId="49" fontId="10" fillId="0" borderId="13" xfId="0" applyNumberFormat="1" applyFont="1" applyBorder="1" applyAlignment="1">
      <alignment horizontal="center" vertical="center" wrapText="1"/>
    </xf>
    <xf numFmtId="164" fontId="18" fillId="0" borderId="13" xfId="0" applyNumberFormat="1" applyFont="1" applyBorder="1" applyAlignment="1">
      <alignment horizontal="center" vertical="center" wrapText="1"/>
    </xf>
    <xf numFmtId="164" fontId="10" fillId="0" borderId="13" xfId="0" applyNumberFormat="1" applyFont="1" applyBorder="1" applyAlignment="1">
      <alignment horizontal="center" vertical="center" wrapText="1"/>
    </xf>
    <xf numFmtId="164" fontId="14" fillId="0" borderId="13" xfId="0" applyNumberFormat="1" applyFont="1" applyBorder="1" applyAlignment="1">
      <alignment horizontal="center" vertical="center" wrapText="1"/>
    </xf>
    <xf numFmtId="0" fontId="10" fillId="0" borderId="1" xfId="0" applyFont="1" applyBorder="1" applyAlignment="1">
      <alignment horizontal="left" wrapText="1" indent="1"/>
    </xf>
    <xf numFmtId="164" fontId="18" fillId="0" borderId="1" xfId="0" applyNumberFormat="1" applyFont="1" applyBorder="1" applyAlignment="1">
      <alignment horizontal="center" vertical="center"/>
    </xf>
    <xf numFmtId="164" fontId="18" fillId="0" borderId="2" xfId="0" applyNumberFormat="1" applyFont="1" applyBorder="1" applyAlignment="1">
      <alignment horizontal="center" vertical="center"/>
    </xf>
    <xf numFmtId="0" fontId="10" fillId="0" borderId="1" xfId="0" applyFont="1" applyBorder="1" applyAlignment="1">
      <alignment horizontal="left" indent="1"/>
    </xf>
    <xf numFmtId="164" fontId="14"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xf>
    <xf numFmtId="164" fontId="3" fillId="0" borderId="2" xfId="0" applyNumberFormat="1" applyFont="1" applyBorder="1" applyAlignment="1">
      <alignment horizontal="center" vertical="center"/>
    </xf>
    <xf numFmtId="164" fontId="10" fillId="0" borderId="1" xfId="0" applyNumberFormat="1" applyFont="1" applyBorder="1" applyAlignment="1">
      <alignment horizontal="center" vertical="center"/>
    </xf>
    <xf numFmtId="164" fontId="10" fillId="0" borderId="2" xfId="0" applyNumberFormat="1" applyFont="1" applyBorder="1" applyAlignment="1">
      <alignment horizontal="center" vertical="center"/>
    </xf>
    <xf numFmtId="164" fontId="13" fillId="0" borderId="1" xfId="0" applyNumberFormat="1" applyFont="1" applyBorder="1" applyAlignment="1">
      <alignment horizontal="center" vertical="center" wrapText="1"/>
    </xf>
    <xf numFmtId="0" fontId="10" fillId="0" borderId="1" xfId="0" applyFont="1" applyBorder="1" applyAlignment="1">
      <alignment horizontal="left" indent="2"/>
    </xf>
    <xf numFmtId="164" fontId="3" fillId="0" borderId="1" xfId="0" applyNumberFormat="1" applyFont="1" applyBorder="1" applyAlignment="1">
      <alignment horizontal="center" vertical="center" wrapText="1"/>
    </xf>
    <xf numFmtId="164" fontId="14" fillId="0" borderId="1" xfId="0" applyNumberFormat="1" applyFont="1" applyBorder="1" applyAlignment="1">
      <alignment horizontal="center" vertical="center"/>
    </xf>
    <xf numFmtId="0" fontId="23" fillId="0" borderId="0" xfId="0" applyFont="1" applyAlignment="1">
      <alignment horizontal="center" vertical="center"/>
    </xf>
    <xf numFmtId="164" fontId="25" fillId="0" borderId="1" xfId="0" applyNumberFormat="1" applyFont="1" applyBorder="1" applyAlignment="1">
      <alignment horizontal="center" vertical="center" wrapText="1"/>
    </xf>
    <xf numFmtId="164" fontId="25" fillId="0" borderId="1" xfId="0" applyNumberFormat="1" applyFont="1" applyBorder="1" applyAlignment="1">
      <alignment horizontal="center" vertical="center"/>
    </xf>
    <xf numFmtId="0" fontId="14" fillId="0" borderId="1" xfId="0" applyFont="1" applyBorder="1" applyAlignment="1">
      <alignment horizontal="left" vertical="center" wrapText="1"/>
    </xf>
    <xf numFmtId="49" fontId="10" fillId="0" borderId="2" xfId="0" applyNumberFormat="1" applyFont="1" applyBorder="1" applyAlignment="1">
      <alignment horizontal="center" vertical="center" wrapText="1"/>
    </xf>
    <xf numFmtId="164" fontId="13" fillId="0" borderId="1" xfId="0" applyNumberFormat="1" applyFont="1" applyBorder="1" applyAlignment="1">
      <alignment horizontal="center" vertical="center"/>
    </xf>
    <xf numFmtId="0" fontId="10" fillId="0" borderId="1" xfId="0" applyFont="1" applyBorder="1" applyAlignment="1">
      <alignment horizontal="left" vertical="center"/>
    </xf>
    <xf numFmtId="0" fontId="10" fillId="0" borderId="1" xfId="0" applyFont="1" applyBorder="1"/>
    <xf numFmtId="164" fontId="10" fillId="0" borderId="13" xfId="0" applyNumberFormat="1" applyFont="1" applyBorder="1" applyAlignment="1">
      <alignment horizontal="center" vertical="center"/>
    </xf>
    <xf numFmtId="164" fontId="10" fillId="0" borderId="5" xfId="0" applyNumberFormat="1" applyFont="1" applyBorder="1" applyAlignment="1">
      <alignment horizontal="center" vertical="center"/>
    </xf>
    <xf numFmtId="0" fontId="14" fillId="0" borderId="1" xfId="0" applyFont="1" applyBorder="1"/>
    <xf numFmtId="49" fontId="3" fillId="0" borderId="1" xfId="0" applyNumberFormat="1" applyFont="1" applyBorder="1" applyAlignment="1">
      <alignment horizontal="center" vertical="center" wrapText="1"/>
    </xf>
    <xf numFmtId="0" fontId="22" fillId="0" borderId="1" xfId="0" applyFont="1" applyBorder="1" applyAlignment="1">
      <alignment horizontal="left" vertical="center" wrapText="1"/>
    </xf>
    <xf numFmtId="0" fontId="10" fillId="0" borderId="1" xfId="0" applyFont="1" applyBorder="1" applyAlignment="1">
      <alignment horizontal="left" wrapText="1" indent="2"/>
    </xf>
    <xf numFmtId="164" fontId="18" fillId="0" borderId="13" xfId="0" applyNumberFormat="1" applyFont="1" applyBorder="1" applyAlignment="1">
      <alignment horizontal="center" vertical="center"/>
    </xf>
    <xf numFmtId="164" fontId="18" fillId="0" borderId="5" xfId="0" applyNumberFormat="1" applyFont="1" applyBorder="1" applyAlignment="1">
      <alignment horizontal="center" vertical="center"/>
    </xf>
    <xf numFmtId="3" fontId="10" fillId="0" borderId="1" xfId="0" applyNumberFormat="1" applyFont="1" applyBorder="1" applyAlignment="1">
      <alignment horizontal="center" vertical="center"/>
    </xf>
    <xf numFmtId="49" fontId="10" fillId="0" borderId="0" xfId="0" applyNumberFormat="1" applyFont="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14" fillId="0" borderId="0" xfId="0" applyFont="1"/>
    <xf numFmtId="49" fontId="10" fillId="0" borderId="2" xfId="0" applyNumberFormat="1" applyFont="1" applyBorder="1" applyAlignment="1">
      <alignment horizontal="left" vertical="center" wrapText="1"/>
    </xf>
    <xf numFmtId="49" fontId="10" fillId="0" borderId="4" xfId="0" applyNumberFormat="1" applyFont="1" applyBorder="1" applyAlignment="1">
      <alignment horizontal="left" vertical="center" wrapText="1"/>
    </xf>
    <xf numFmtId="1" fontId="10" fillId="0" borderId="1" xfId="0" applyNumberFormat="1" applyFont="1" applyBorder="1" applyAlignment="1">
      <alignment horizontal="center" vertical="center"/>
    </xf>
    <xf numFmtId="1" fontId="5" fillId="0" borderId="1" xfId="0" applyNumberFormat="1" applyFont="1" applyBorder="1" applyAlignment="1">
      <alignment horizontal="center" vertical="center"/>
    </xf>
    <xf numFmtId="1" fontId="5" fillId="0" borderId="1" xfId="0" applyNumberFormat="1" applyFont="1" applyBorder="1"/>
    <xf numFmtId="49" fontId="10" fillId="0" borderId="0" xfId="0" applyNumberFormat="1" applyFont="1" applyAlignment="1">
      <alignment horizontal="center" vertical="center"/>
    </xf>
    <xf numFmtId="3" fontId="10" fillId="0" borderId="0" xfId="0" applyNumberFormat="1" applyFont="1" applyAlignment="1">
      <alignment horizontal="center" vertical="center"/>
    </xf>
    <xf numFmtId="0" fontId="9" fillId="0" borderId="0" xfId="0" applyFont="1"/>
    <xf numFmtId="0" fontId="5" fillId="0" borderId="0" xfId="0" applyFont="1"/>
    <xf numFmtId="0" fontId="0" fillId="0" borderId="0" xfId="0" applyAlignment="1">
      <alignment horizontal="right"/>
    </xf>
    <xf numFmtId="49" fontId="10" fillId="0" borderId="12" xfId="0" applyNumberFormat="1" applyFont="1" applyBorder="1" applyAlignment="1">
      <alignment horizontal="left" vertical="center" wrapText="1"/>
    </xf>
    <xf numFmtId="49" fontId="10" fillId="0" borderId="12" xfId="0" applyNumberFormat="1" applyFont="1" applyBorder="1" applyAlignment="1">
      <alignment horizontal="center" vertical="center" wrapText="1"/>
    </xf>
    <xf numFmtId="0" fontId="10" fillId="0" borderId="12" xfId="0" applyFont="1" applyBorder="1"/>
    <xf numFmtId="0" fontId="2" fillId="0" borderId="0" xfId="0" applyFont="1"/>
    <xf numFmtId="0" fontId="4" fillId="0" borderId="0" xfId="0" applyFont="1"/>
    <xf numFmtId="0" fontId="0" fillId="0" borderId="0" xfId="0"/>
    <xf numFmtId="0" fontId="1" fillId="0" borderId="0" xfId="0" applyFont="1"/>
    <xf numFmtId="0" fontId="2" fillId="0" borderId="0" xfId="0" applyFont="1" applyAlignment="1">
      <alignment wrapText="1"/>
    </xf>
    <xf numFmtId="0" fontId="3" fillId="0" borderId="0" xfId="0" applyFont="1" applyAlignment="1">
      <alignment wrapText="1"/>
    </xf>
    <xf numFmtId="0" fontId="9" fillId="0" borderId="0" xfId="0" applyFont="1" applyAlignment="1">
      <alignment horizontal="center" vertical="top" wrapText="1"/>
    </xf>
    <xf numFmtId="0" fontId="9" fillId="0" borderId="2" xfId="0" applyFont="1" applyBorder="1" applyAlignment="1">
      <alignment horizontal="justify" vertical="top" wrapText="1"/>
    </xf>
    <xf numFmtId="0" fontId="9" fillId="0" borderId="3" xfId="0" applyFont="1" applyBorder="1" applyAlignment="1">
      <alignment horizontal="justify" vertical="top" wrapText="1"/>
    </xf>
    <xf numFmtId="0" fontId="9" fillId="0" borderId="4" xfId="0" applyFont="1" applyBorder="1" applyAlignment="1">
      <alignment horizontal="justify" vertical="top" wrapText="1"/>
    </xf>
    <xf numFmtId="0" fontId="9" fillId="0" borderId="5" xfId="0" applyFont="1" applyBorder="1" applyAlignment="1">
      <alignment horizontal="center" vertical="top" wrapText="1"/>
    </xf>
    <xf numFmtId="0" fontId="9" fillId="0" borderId="6" xfId="0" applyFont="1" applyBorder="1" applyAlignment="1">
      <alignment horizontal="center" vertical="top" wrapText="1"/>
    </xf>
    <xf numFmtId="0" fontId="9" fillId="0" borderId="7" xfId="0" applyFont="1" applyBorder="1" applyAlignment="1">
      <alignment horizontal="center" vertical="top" wrapText="1"/>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9" fillId="0" borderId="10" xfId="0" applyFont="1" applyBorder="1" applyAlignment="1">
      <alignment horizontal="center"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2" xfId="0" applyFont="1" applyBorder="1" applyAlignment="1">
      <alignment horizontal="center" vertical="top" wrapText="1"/>
    </xf>
    <xf numFmtId="0" fontId="9" fillId="0" borderId="4" xfId="0" applyFont="1" applyBorder="1" applyAlignment="1">
      <alignment horizontal="center" vertical="top" wrapText="1"/>
    </xf>
    <xf numFmtId="0" fontId="1" fillId="0" borderId="0" xfId="0" applyFont="1" applyAlignment="1">
      <alignment horizontal="center"/>
    </xf>
    <xf numFmtId="0" fontId="2" fillId="0" borderId="0" xfId="0" applyFont="1" applyAlignment="1">
      <alignment horizont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9" xfId="0" applyFont="1" applyBorder="1" applyAlignment="1">
      <alignment horizontal="center" vertical="top" wrapText="1"/>
    </xf>
    <xf numFmtId="0" fontId="11" fillId="0" borderId="0" xfId="0" applyFont="1" applyAlignment="1">
      <alignment horizontal="center" vertical="top" wrapText="1"/>
    </xf>
    <xf numFmtId="0" fontId="11" fillId="0" borderId="8" xfId="0" applyFont="1" applyBorder="1" applyAlignment="1">
      <alignment horizontal="center" vertical="top" wrapText="1"/>
    </xf>
    <xf numFmtId="0" fontId="10" fillId="0" borderId="0" xfId="0" applyFont="1" applyAlignment="1">
      <alignment horizontal="justify" vertical="center" wrapText="1"/>
    </xf>
    <xf numFmtId="0" fontId="0" fillId="0" borderId="0" xfId="0" applyAlignment="1">
      <alignment wrapText="1"/>
    </xf>
    <xf numFmtId="0" fontId="5" fillId="0" borderId="5" xfId="0" applyFont="1" applyBorder="1" applyAlignment="1">
      <alignment vertical="center" wrapText="1"/>
    </xf>
    <xf numFmtId="0" fontId="5" fillId="0" borderId="11" xfId="0" applyFont="1" applyBorder="1" applyAlignment="1">
      <alignment vertical="center" wrapText="1"/>
    </xf>
    <xf numFmtId="0" fontId="5" fillId="0" borderId="6" xfId="0" applyFont="1" applyBorder="1" applyAlignment="1">
      <alignment vertical="center" wrapText="1"/>
    </xf>
    <xf numFmtId="0" fontId="9" fillId="0" borderId="7" xfId="0" applyFont="1" applyBorder="1" applyAlignment="1">
      <alignment vertical="center"/>
    </xf>
    <xf numFmtId="0" fontId="9" fillId="0" borderId="0" xfId="0" applyFont="1" applyAlignment="1">
      <alignment vertical="center"/>
    </xf>
    <xf numFmtId="0" fontId="9" fillId="0" borderId="8" xfId="0" applyFont="1" applyBorder="1" applyAlignment="1">
      <alignment vertical="center"/>
    </xf>
    <xf numFmtId="0" fontId="5" fillId="0" borderId="9" xfId="0" applyFont="1" applyBorder="1" applyAlignment="1">
      <alignment vertical="center"/>
    </xf>
    <xf numFmtId="0" fontId="0" fillId="0" borderId="12" xfId="0" applyBorder="1" applyAlignment="1">
      <alignment vertical="center"/>
    </xf>
    <xf numFmtId="0" fontId="0" fillId="0" borderId="10" xfId="0" applyBorder="1" applyAlignment="1">
      <alignment vertical="center"/>
    </xf>
    <xf numFmtId="0" fontId="5" fillId="0" borderId="7" xfId="0" applyFont="1" applyBorder="1" applyAlignment="1">
      <alignment horizontal="center" vertical="center"/>
    </xf>
    <xf numFmtId="0" fontId="0" fillId="0" borderId="8" xfId="0" applyBorder="1"/>
    <xf numFmtId="49" fontId="16" fillId="0" borderId="2" xfId="0" applyNumberFormat="1" applyFont="1" applyBorder="1" applyAlignment="1">
      <alignment horizontal="left" vertical="center" wrapText="1"/>
    </xf>
    <xf numFmtId="49" fontId="16" fillId="0" borderId="4" xfId="0" applyNumberFormat="1" applyFont="1" applyBorder="1" applyAlignment="1">
      <alignment horizontal="left" vertical="center" wrapText="1"/>
    </xf>
    <xf numFmtId="49" fontId="1" fillId="0" borderId="0" xfId="0" applyNumberFormat="1" applyFont="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49" fontId="14" fillId="0" borderId="1" xfId="0" applyNumberFormat="1" applyFont="1" applyBorder="1" applyAlignment="1">
      <alignment horizontal="center" vertical="center" textRotation="90"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0" xfId="0" applyFont="1" applyAlignment="1">
      <alignment horizontal="center" vertical="center" wrapText="1"/>
    </xf>
    <xf numFmtId="0" fontId="14" fillId="0" borderId="8" xfId="0" applyFont="1" applyBorder="1" applyAlignment="1">
      <alignment horizontal="center" vertical="center" wrapText="1"/>
    </xf>
    <xf numFmtId="49" fontId="14" fillId="0" borderId="5" xfId="0" applyNumberFormat="1" applyFont="1" applyBorder="1" applyAlignment="1">
      <alignment horizontal="center" vertical="center" wrapText="1"/>
    </xf>
    <xf numFmtId="49" fontId="14" fillId="0" borderId="11" xfId="0" applyNumberFormat="1" applyFont="1" applyBorder="1" applyAlignment="1">
      <alignment horizontal="center" vertical="center" wrapText="1"/>
    </xf>
    <xf numFmtId="49" fontId="14" fillId="0" borderId="6"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4" fillId="0" borderId="0" xfId="0" applyNumberFormat="1" applyFont="1" applyAlignment="1">
      <alignment horizontal="center" vertical="center" wrapText="1"/>
    </xf>
    <xf numFmtId="49" fontId="14" fillId="0" borderId="8"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textRotation="90" wrapText="1"/>
    </xf>
    <xf numFmtId="0" fontId="14" fillId="0" borderId="14" xfId="0" applyFont="1" applyBorder="1" applyAlignment="1">
      <alignment horizontal="center" vertical="center" textRotation="90" wrapText="1"/>
    </xf>
    <xf numFmtId="0" fontId="14" fillId="0" borderId="15" xfId="0" applyFont="1" applyBorder="1" applyAlignment="1">
      <alignment horizontal="center" vertical="center" textRotation="90" wrapText="1"/>
    </xf>
    <xf numFmtId="0" fontId="6" fillId="0" borderId="14" xfId="0" applyFont="1" applyBorder="1" applyAlignment="1">
      <alignment horizontal="center" vertical="center" textRotation="90" wrapText="1"/>
    </xf>
    <xf numFmtId="0" fontId="6" fillId="0" borderId="15" xfId="0" applyFont="1" applyBorder="1" applyAlignment="1">
      <alignment horizontal="center" vertical="center" textRotation="90" wrapText="1"/>
    </xf>
    <xf numFmtId="49" fontId="14" fillId="0" borderId="2"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49" fontId="15" fillId="0" borderId="2"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15" fillId="0" borderId="2" xfId="0" applyNumberFormat="1" applyFont="1" applyBorder="1" applyAlignment="1">
      <alignment horizontal="left" vertical="center" wrapText="1"/>
    </xf>
    <xf numFmtId="49" fontId="15" fillId="0" borderId="4" xfId="0" applyNumberFormat="1" applyFont="1" applyBorder="1" applyAlignment="1">
      <alignment horizontal="left" vertical="center" wrapText="1"/>
    </xf>
    <xf numFmtId="49" fontId="16" fillId="0" borderId="5" xfId="0" applyNumberFormat="1" applyFont="1" applyBorder="1" applyAlignment="1">
      <alignment horizontal="center" vertical="center" wrapText="1"/>
    </xf>
    <xf numFmtId="49" fontId="16" fillId="0" borderId="6" xfId="0" applyNumberFormat="1" applyFont="1" applyBorder="1" applyAlignment="1">
      <alignment horizontal="center" vertical="center" wrapText="1"/>
    </xf>
    <xf numFmtId="49" fontId="16" fillId="0" borderId="2" xfId="0" applyNumberFormat="1" applyFont="1" applyBorder="1" applyAlignment="1">
      <alignment horizontal="justify" vertical="center" wrapText="1"/>
    </xf>
    <xf numFmtId="49" fontId="16" fillId="0" borderId="4" xfId="0" applyNumberFormat="1" applyFont="1" applyBorder="1" applyAlignment="1">
      <alignment horizontal="justify" vertical="center" wrapText="1"/>
    </xf>
    <xf numFmtId="49" fontId="16" fillId="0" borderId="1" xfId="0" applyNumberFormat="1" applyFont="1" applyBorder="1" applyAlignment="1">
      <alignment horizontal="justify" vertical="center" wrapText="1"/>
    </xf>
    <xf numFmtId="49" fontId="16" fillId="0" borderId="5" xfId="0" applyNumberFormat="1" applyFont="1" applyBorder="1" applyAlignment="1">
      <alignment horizontal="justify" vertical="center" wrapText="1"/>
    </xf>
    <xf numFmtId="49" fontId="16" fillId="0" borderId="6" xfId="0" applyNumberFormat="1" applyFont="1" applyBorder="1" applyAlignment="1">
      <alignment horizontal="justify" vertical="center" wrapText="1"/>
    </xf>
    <xf numFmtId="0" fontId="16" fillId="0" borderId="2" xfId="0" applyFont="1" applyBorder="1" applyAlignment="1">
      <alignment horizontal="justify" vertical="center" wrapText="1"/>
    </xf>
    <xf numFmtId="0" fontId="16" fillId="0" borderId="4" xfId="0" applyFont="1" applyBorder="1" applyAlignment="1">
      <alignment horizontal="justify" vertical="center" wrapText="1"/>
    </xf>
    <xf numFmtId="0" fontId="15" fillId="0" borderId="2" xfId="0" applyFont="1" applyBorder="1" applyAlignment="1">
      <alignment horizontal="justify" vertical="center"/>
    </xf>
    <xf numFmtId="0" fontId="16" fillId="0" borderId="4" xfId="0" applyFont="1" applyBorder="1" applyAlignment="1">
      <alignment horizontal="justify" vertical="center"/>
    </xf>
    <xf numFmtId="0" fontId="16" fillId="0" borderId="1" xfId="0" applyFont="1" applyBorder="1" applyAlignment="1">
      <alignment horizontal="justify" vertical="center"/>
    </xf>
    <xf numFmtId="49" fontId="16" fillId="0" borderId="9" xfId="0" applyNumberFormat="1" applyFont="1" applyBorder="1" applyAlignment="1">
      <alignment horizontal="left" vertical="center" wrapText="1"/>
    </xf>
    <xf numFmtId="49" fontId="16" fillId="0" borderId="10" xfId="0" applyNumberFormat="1" applyFont="1" applyBorder="1" applyAlignment="1">
      <alignment horizontal="left" vertical="center" wrapText="1"/>
    </xf>
    <xf numFmtId="49" fontId="16" fillId="0" borderId="15" xfId="0" applyNumberFormat="1" applyFont="1" applyBorder="1" applyAlignment="1">
      <alignment horizontal="justify" vertical="center" wrapText="1"/>
    </xf>
    <xf numFmtId="49" fontId="1" fillId="0" borderId="0" xfId="0" applyNumberFormat="1" applyFont="1" applyAlignment="1">
      <alignment horizontal="center" vertical="center"/>
    </xf>
    <xf numFmtId="49" fontId="4" fillId="0" borderId="0" xfId="0" applyNumberFormat="1" applyFont="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0" fillId="0" borderId="13" xfId="0" applyFont="1" applyBorder="1" applyAlignment="1">
      <alignment horizontal="center" vertical="center" textRotation="90"/>
    </xf>
    <xf numFmtId="0" fontId="10" fillId="0" borderId="14" xfId="0" applyFont="1" applyBorder="1" applyAlignment="1">
      <alignment horizontal="center" vertical="center" textRotation="90"/>
    </xf>
    <xf numFmtId="0" fontId="10" fillId="0" borderId="15" xfId="0" applyFont="1" applyBorder="1" applyAlignment="1">
      <alignment horizontal="center" vertical="center" textRotation="90"/>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 xfId="0" applyFont="1" applyBorder="1" applyAlignment="1">
      <alignment horizontal="center" vertical="center" wrapText="1"/>
    </xf>
    <xf numFmtId="0" fontId="0" fillId="0" borderId="4" xfId="0" applyBorder="1" applyAlignment="1">
      <alignment horizontal="center" vertical="center" wrapText="1"/>
    </xf>
    <xf numFmtId="0" fontId="10" fillId="0" borderId="6" xfId="0" applyFont="1" applyBorder="1" applyAlignment="1">
      <alignment horizontal="center" vertical="center" textRotation="90" wrapText="1"/>
    </xf>
    <xf numFmtId="0" fontId="10" fillId="0" borderId="8" xfId="0" applyFont="1" applyBorder="1" applyAlignment="1">
      <alignment horizontal="center" vertical="center" textRotation="90" wrapText="1"/>
    </xf>
    <xf numFmtId="0" fontId="10" fillId="0" borderId="10" xfId="0" applyFont="1" applyBorder="1" applyAlignment="1">
      <alignment horizontal="center" vertical="center" textRotation="90" wrapText="1"/>
    </xf>
    <xf numFmtId="0" fontId="10" fillId="0" borderId="13" xfId="0" applyFont="1" applyBorder="1" applyAlignment="1">
      <alignment horizontal="center" vertical="center" textRotation="90" wrapText="1"/>
    </xf>
    <xf numFmtId="0" fontId="10" fillId="0" borderId="14" xfId="0" applyFont="1" applyBorder="1" applyAlignment="1">
      <alignment horizontal="center" vertical="center" textRotation="90" wrapText="1"/>
    </xf>
    <xf numFmtId="0" fontId="10" fillId="0" borderId="15" xfId="0" applyFont="1" applyBorder="1" applyAlignment="1">
      <alignment horizontal="center" vertical="center" textRotation="90" wrapText="1"/>
    </xf>
    <xf numFmtId="0" fontId="0" fillId="0" borderId="14" xfId="0" applyBorder="1"/>
    <xf numFmtId="0" fontId="0" fillId="0" borderId="15" xfId="0" applyBorder="1"/>
    <xf numFmtId="0" fontId="10" fillId="0" borderId="5" xfId="0" applyFont="1" applyBorder="1" applyAlignment="1">
      <alignment horizontal="center" vertical="center" textRotation="90" wrapText="1"/>
    </xf>
    <xf numFmtId="0" fontId="10" fillId="0" borderId="7" xfId="0" applyFont="1" applyBorder="1" applyAlignment="1">
      <alignment horizontal="center" vertical="center" textRotation="90" wrapText="1"/>
    </xf>
    <xf numFmtId="0" fontId="10" fillId="0" borderId="9" xfId="0" applyFont="1" applyBorder="1" applyAlignment="1">
      <alignment horizontal="center" vertical="center" textRotation="90" wrapText="1"/>
    </xf>
    <xf numFmtId="0" fontId="22" fillId="0" borderId="13" xfId="0" applyFont="1" applyBorder="1" applyAlignment="1">
      <alignment horizontal="center" vertical="center" textRotation="90" wrapText="1"/>
    </xf>
    <xf numFmtId="0" fontId="22" fillId="0" borderId="14" xfId="0" applyFont="1" applyBorder="1" applyAlignment="1">
      <alignment horizontal="center" vertical="center" textRotation="90" wrapText="1"/>
    </xf>
    <xf numFmtId="0" fontId="22" fillId="0" borderId="15" xfId="0" applyFont="1" applyBorder="1" applyAlignment="1">
      <alignment horizontal="center" vertical="center" textRotation="90" wrapText="1"/>
    </xf>
    <xf numFmtId="0" fontId="22" fillId="0" borderId="1" xfId="0" applyFont="1" applyBorder="1" applyAlignment="1">
      <alignment horizontal="center" vertical="center" textRotation="90" wrapText="1"/>
    </xf>
    <xf numFmtId="0" fontId="0" fillId="0" borderId="14" xfId="0" applyBorder="1" applyAlignment="1">
      <alignment horizontal="center" vertical="center" textRotation="90" wrapText="1"/>
    </xf>
    <xf numFmtId="0" fontId="0" fillId="0" borderId="15" xfId="0" applyBorder="1" applyAlignment="1">
      <alignment horizontal="center" vertical="center" textRotation="90" wrapText="1"/>
    </xf>
    <xf numFmtId="49" fontId="10" fillId="0" borderId="2" xfId="0" applyNumberFormat="1" applyFont="1" applyBorder="1" applyAlignment="1">
      <alignment horizontal="left" vertical="center" wrapText="1"/>
    </xf>
    <xf numFmtId="49" fontId="10" fillId="0" borderId="4" xfId="0" applyNumberFormat="1" applyFont="1" applyBorder="1" applyAlignment="1">
      <alignment horizontal="left" vertical="center" wrapText="1"/>
    </xf>
    <xf numFmtId="49" fontId="10" fillId="0" borderId="1" xfId="0" applyNumberFormat="1" applyFont="1" applyBorder="1" applyAlignment="1">
      <alignment vertical="center"/>
    </xf>
    <xf numFmtId="49" fontId="13" fillId="0" borderId="15" xfId="0" applyNumberFormat="1" applyFont="1" applyBorder="1" applyAlignment="1">
      <alignment horizontal="left" vertical="center" wrapText="1"/>
    </xf>
    <xf numFmtId="49" fontId="10" fillId="0" borderId="2" xfId="0" applyNumberFormat="1" applyFont="1" applyBorder="1" applyAlignment="1">
      <alignment vertical="center" wrapText="1"/>
    </xf>
    <xf numFmtId="49" fontId="10" fillId="0" borderId="4" xfId="0" applyNumberFormat="1" applyFont="1" applyBorder="1" applyAlignment="1">
      <alignment vertical="center" wrapText="1"/>
    </xf>
    <xf numFmtId="49" fontId="10" fillId="0" borderId="2" xfId="0" applyNumberFormat="1" applyFont="1" applyBorder="1" applyAlignment="1">
      <alignment vertical="center"/>
    </xf>
    <xf numFmtId="49" fontId="10" fillId="0" borderId="4" xfId="0" applyNumberFormat="1" applyFont="1" applyBorder="1" applyAlignment="1">
      <alignment vertical="center"/>
    </xf>
    <xf numFmtId="49" fontId="10" fillId="0" borderId="1" xfId="0" applyNumberFormat="1" applyFont="1" applyBorder="1" applyAlignment="1">
      <alignment horizontal="center" vertical="center" wrapText="1"/>
    </xf>
    <xf numFmtId="49" fontId="10" fillId="0" borderId="13" xfId="0" applyNumberFormat="1" applyFont="1" applyBorder="1" applyAlignment="1">
      <alignment horizontal="left" vertical="center" wrapText="1"/>
    </xf>
    <xf numFmtId="49" fontId="10" fillId="0" borderId="1" xfId="0" applyNumberFormat="1" applyFont="1" applyBorder="1" applyAlignment="1">
      <alignment horizontal="justify" vertical="center" wrapText="1"/>
    </xf>
    <xf numFmtId="49" fontId="10" fillId="0" borderId="1" xfId="0" applyNumberFormat="1" applyFont="1" applyBorder="1" applyAlignment="1">
      <alignment horizontal="left" vertical="center" wrapText="1"/>
    </xf>
    <xf numFmtId="49" fontId="10" fillId="0" borderId="0" xfId="0" applyNumberFormat="1" applyFont="1" applyAlignment="1">
      <alignment horizontal="right" vertical="center" wrapText="1"/>
    </xf>
    <xf numFmtId="49" fontId="14" fillId="0" borderId="0" xfId="0" applyNumberFormat="1" applyFont="1" applyAlignment="1">
      <alignment horizontal="right" vertical="center" wrapText="1"/>
    </xf>
    <xf numFmtId="49" fontId="10" fillId="0" borderId="2" xfId="0" applyNumberFormat="1" applyFont="1" applyBorder="1" applyAlignment="1">
      <alignment horizontal="left" vertical="center"/>
    </xf>
    <xf numFmtId="0" fontId="0" fillId="0" borderId="4" xfId="0" applyBorder="1" applyAlignment="1">
      <alignment horizontal="left" vertical="center"/>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 xfId="0" applyFont="1" applyBorder="1" applyAlignment="1">
      <alignment horizontal="center" vertical="center" textRotation="90" wrapText="1"/>
    </xf>
    <xf numFmtId="0" fontId="10" fillId="0" borderId="11" xfId="0" applyFont="1" applyBorder="1" applyAlignment="1">
      <alignment horizontal="left" vertical="top"/>
    </xf>
    <xf numFmtId="0" fontId="0" fillId="0" borderId="11" xfId="0" applyBorder="1" applyAlignment="1">
      <alignment horizontal="left" vertical="top"/>
    </xf>
    <xf numFmtId="0" fontId="10" fillId="0" borderId="0" xfId="0" applyFont="1" applyAlignment="1">
      <alignment vertical="center"/>
    </xf>
    <xf numFmtId="0" fontId="0" fillId="0" borderId="0" xfId="0" applyAlignment="1">
      <alignment vertical="center"/>
    </xf>
    <xf numFmtId="0" fontId="10" fillId="0" borderId="0" xfId="0" applyFont="1" applyAlignment="1">
      <alignment horizontal="right"/>
    </xf>
    <xf numFmtId="0" fontId="0" fillId="0" borderId="0" xfId="0" applyAlignment="1">
      <alignment horizontal="right"/>
    </xf>
    <xf numFmtId="49" fontId="10" fillId="0" borderId="1" xfId="0" applyNumberFormat="1" applyFont="1" applyBorder="1" applyAlignment="1">
      <alignment horizontal="center" vertical="center" textRotation="90" wrapText="1"/>
    </xf>
    <xf numFmtId="49" fontId="10" fillId="0" borderId="11" xfId="0" applyNumberFormat="1" applyFont="1" applyBorder="1" applyAlignment="1">
      <alignment horizontal="left" vertical="center" wrapText="1"/>
    </xf>
    <xf numFmtId="49" fontId="10" fillId="0" borderId="0" xfId="0" applyNumberFormat="1" applyFont="1" applyAlignment="1">
      <alignment horizontal="left" vertical="center" wrapText="1"/>
    </xf>
    <xf numFmtId="0" fontId="10" fillId="0" borderId="11" xfId="0" applyFont="1" applyBorder="1" applyAlignment="1">
      <alignment horizontal="left"/>
    </xf>
    <xf numFmtId="0" fontId="0" fillId="0" borderId="11" xfId="0" applyBorder="1" applyAlignment="1">
      <alignment horizontal="left"/>
    </xf>
    <xf numFmtId="49" fontId="10" fillId="0" borderId="4" xfId="0" applyNumberFormat="1" applyFont="1" applyBorder="1" applyAlignment="1">
      <alignment horizontal="left"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topLeftCell="A20" zoomScale="70" workbookViewId="0">
      <selection activeCell="N12" sqref="N12"/>
    </sheetView>
  </sheetViews>
  <sheetFormatPr defaultRowHeight="12.75" x14ac:dyDescent="0.2"/>
  <cols>
    <col min="7" max="7" width="14.42578125" customWidth="1"/>
    <col min="8" max="8" width="9.28515625" customWidth="1"/>
    <col min="9" max="9" width="10.5703125" customWidth="1"/>
    <col min="10" max="10" width="10.42578125" customWidth="1"/>
    <col min="11" max="11" width="11.85546875" customWidth="1"/>
    <col min="12" max="12" width="0.85546875" hidden="1" customWidth="1"/>
    <col min="13" max="16" width="6.5703125" customWidth="1"/>
    <col min="17" max="17" width="6.42578125" customWidth="1"/>
    <col min="18" max="18" width="7.42578125" hidden="1" customWidth="1"/>
  </cols>
  <sheetData>
    <row r="1" spans="6:18" x14ac:dyDescent="0.2">
      <c r="M1" s="135"/>
      <c r="N1" s="135"/>
      <c r="O1" s="135"/>
      <c r="P1" s="135"/>
      <c r="Q1" s="135"/>
    </row>
    <row r="2" spans="6:18" ht="12" customHeight="1" x14ac:dyDescent="0.25">
      <c r="M2" s="136" t="s">
        <v>0</v>
      </c>
      <c r="N2" s="136"/>
      <c r="O2" s="136"/>
      <c r="P2" s="136"/>
      <c r="Q2" s="136"/>
    </row>
    <row r="3" spans="6:18" ht="1.5" customHeight="1" x14ac:dyDescent="0.25">
      <c r="M3" s="2"/>
      <c r="N3" s="2"/>
      <c r="O3" s="2"/>
      <c r="P3" s="2"/>
      <c r="Q3" s="2"/>
    </row>
    <row r="4" spans="6:18" ht="12" customHeight="1" x14ac:dyDescent="0.25">
      <c r="M4" s="133" t="s">
        <v>1</v>
      </c>
      <c r="N4" s="133"/>
      <c r="O4" s="133"/>
      <c r="P4" s="133"/>
      <c r="Q4" s="133"/>
    </row>
    <row r="5" spans="6:18" ht="13.5" customHeight="1" x14ac:dyDescent="0.25">
      <c r="M5" s="133" t="s">
        <v>2</v>
      </c>
      <c r="N5" s="133"/>
      <c r="O5" s="133"/>
      <c r="P5" s="133"/>
      <c r="Q5" s="133"/>
    </row>
    <row r="6" spans="6:18" ht="12" customHeight="1" x14ac:dyDescent="0.25">
      <c r="M6" s="133" t="s">
        <v>3</v>
      </c>
      <c r="N6" s="135"/>
      <c r="O6" s="135"/>
      <c r="P6" s="135"/>
      <c r="Q6" s="135"/>
    </row>
    <row r="7" spans="6:18" ht="3.75" hidden="1" customHeight="1" x14ac:dyDescent="0.25">
      <c r="M7" s="2"/>
      <c r="N7" s="1"/>
      <c r="O7" s="1"/>
      <c r="P7" s="1"/>
      <c r="Q7" s="1"/>
    </row>
    <row r="8" spans="6:18" ht="13.5" customHeight="1" x14ac:dyDescent="0.25">
      <c r="M8" s="133" t="s">
        <v>4</v>
      </c>
      <c r="N8" s="135"/>
      <c r="O8" s="135"/>
      <c r="P8" s="135"/>
      <c r="Q8" s="135"/>
    </row>
    <row r="9" spans="6:18" ht="13.5" customHeight="1" x14ac:dyDescent="0.25">
      <c r="M9" s="133" t="s">
        <v>5</v>
      </c>
      <c r="N9" s="135"/>
      <c r="O9" s="135"/>
      <c r="P9" s="135"/>
      <c r="Q9" s="135"/>
    </row>
    <row r="10" spans="6:18" ht="13.5" customHeight="1" x14ac:dyDescent="0.25">
      <c r="M10" s="137" t="s">
        <v>6</v>
      </c>
      <c r="N10" s="138"/>
      <c r="O10" s="138"/>
      <c r="P10" s="138"/>
      <c r="Q10" s="138"/>
    </row>
    <row r="11" spans="6:18" ht="15.75" x14ac:dyDescent="0.25">
      <c r="M11" s="133" t="s">
        <v>7</v>
      </c>
      <c r="N11" s="134"/>
      <c r="O11" s="4"/>
      <c r="P11" s="4"/>
      <c r="Q11" s="4"/>
    </row>
    <row r="12" spans="6:18" ht="2.25" customHeight="1" x14ac:dyDescent="0.2"/>
    <row r="13" spans="6:18" ht="15" customHeight="1" x14ac:dyDescent="0.2">
      <c r="G13" s="5" t="s">
        <v>8</v>
      </c>
      <c r="H13" s="6">
        <v>0</v>
      </c>
      <c r="I13" s="7">
        <v>2</v>
      </c>
      <c r="J13" s="6">
        <v>9</v>
      </c>
      <c r="K13" s="6">
        <v>3</v>
      </c>
      <c r="L13" s="6">
        <v>4</v>
      </c>
      <c r="M13" s="6">
        <v>3</v>
      </c>
      <c r="N13" s="6">
        <v>4</v>
      </c>
      <c r="O13" s="6">
        <v>5</v>
      </c>
      <c r="P13" s="8"/>
      <c r="Q13" s="8"/>
      <c r="R13" s="8"/>
    </row>
    <row r="14" spans="6:18" ht="3" customHeight="1" x14ac:dyDescent="0.2"/>
    <row r="15" spans="6:18" ht="15.75" x14ac:dyDescent="0.25">
      <c r="F15" s="4"/>
      <c r="G15" s="154" t="s">
        <v>9</v>
      </c>
      <c r="H15" s="154"/>
      <c r="I15" s="154"/>
      <c r="J15" s="4"/>
    </row>
    <row r="16" spans="6:18" ht="12.75" customHeight="1" x14ac:dyDescent="0.25">
      <c r="F16" s="154" t="s">
        <v>10</v>
      </c>
      <c r="G16" s="154"/>
      <c r="H16" s="154"/>
      <c r="I16" s="154"/>
      <c r="J16" s="154"/>
      <c r="K16" s="9" t="s">
        <v>11</v>
      </c>
      <c r="L16" s="9"/>
      <c r="M16" s="9"/>
    </row>
    <row r="17" spans="1:18" ht="13.5" customHeight="1" x14ac:dyDescent="0.25">
      <c r="F17" s="154" t="s">
        <v>12</v>
      </c>
      <c r="G17" s="155"/>
      <c r="H17" s="155"/>
      <c r="I17" s="155"/>
      <c r="J17" s="155"/>
    </row>
    <row r="18" spans="1:18" ht="7.5" hidden="1" customHeight="1" x14ac:dyDescent="0.2"/>
    <row r="19" spans="1:18" s="11" customFormat="1" ht="14.25" customHeight="1" x14ac:dyDescent="0.2">
      <c r="A19" s="156" t="s">
        <v>13</v>
      </c>
      <c r="B19" s="157"/>
      <c r="C19" s="157"/>
      <c r="D19" s="157"/>
      <c r="E19" s="157"/>
      <c r="F19" s="157"/>
      <c r="G19" s="157"/>
      <c r="H19" s="157"/>
      <c r="I19" s="158"/>
      <c r="J19" s="159" t="s">
        <v>14</v>
      </c>
      <c r="K19" s="160"/>
      <c r="M19" s="139" t="s">
        <v>15</v>
      </c>
      <c r="N19" s="139"/>
      <c r="O19" s="139"/>
      <c r="P19" s="139"/>
      <c r="Q19" s="139"/>
      <c r="R19" s="139"/>
    </row>
    <row r="20" spans="1:18" s="11" customFormat="1" ht="23.25" customHeight="1" x14ac:dyDescent="0.2">
      <c r="A20" s="140" t="s">
        <v>16</v>
      </c>
      <c r="B20" s="141"/>
      <c r="C20" s="141"/>
      <c r="D20" s="141"/>
      <c r="E20" s="141"/>
      <c r="F20" s="141"/>
      <c r="G20" s="141"/>
      <c r="H20" s="141"/>
      <c r="I20" s="142"/>
      <c r="J20" s="143" t="s">
        <v>17</v>
      </c>
      <c r="K20" s="144"/>
      <c r="M20" s="139"/>
      <c r="N20" s="139"/>
      <c r="O20" s="139"/>
      <c r="P20" s="139"/>
      <c r="Q20" s="139"/>
      <c r="R20" s="139"/>
    </row>
    <row r="21" spans="1:18" s="11" customFormat="1" ht="30" customHeight="1" x14ac:dyDescent="0.2">
      <c r="A21" s="149" t="s">
        <v>18</v>
      </c>
      <c r="B21" s="150"/>
      <c r="C21" s="150"/>
      <c r="D21" s="150"/>
      <c r="E21" s="150"/>
      <c r="F21" s="150"/>
      <c r="G21" s="150"/>
      <c r="H21" s="150"/>
      <c r="I21" s="151"/>
      <c r="J21" s="145"/>
      <c r="K21" s="146"/>
      <c r="M21" s="139"/>
      <c r="N21" s="139"/>
      <c r="O21" s="139"/>
      <c r="P21" s="139"/>
      <c r="Q21" s="139"/>
      <c r="R21" s="139"/>
    </row>
    <row r="22" spans="1:18" s="11" customFormat="1" ht="16.5" customHeight="1" x14ac:dyDescent="0.2">
      <c r="A22" s="140" t="s">
        <v>19</v>
      </c>
      <c r="B22" s="141"/>
      <c r="C22" s="141"/>
      <c r="D22" s="141"/>
      <c r="E22" s="141"/>
      <c r="F22" s="141"/>
      <c r="G22" s="141"/>
      <c r="H22" s="141"/>
      <c r="I22" s="142"/>
      <c r="J22" s="147"/>
      <c r="K22" s="148"/>
      <c r="M22" s="139"/>
      <c r="N22" s="139"/>
      <c r="O22" s="139"/>
      <c r="P22" s="139"/>
      <c r="Q22" s="139"/>
      <c r="R22" s="139"/>
    </row>
    <row r="23" spans="1:18" s="11" customFormat="1" ht="59.25" customHeight="1" x14ac:dyDescent="0.2">
      <c r="A23" s="140" t="s">
        <v>20</v>
      </c>
      <c r="B23" s="141"/>
      <c r="C23" s="141"/>
      <c r="D23" s="141"/>
      <c r="E23" s="141"/>
      <c r="F23" s="141"/>
      <c r="G23" s="141"/>
      <c r="H23" s="141"/>
      <c r="I23" s="142"/>
      <c r="J23" s="152" t="s">
        <v>21</v>
      </c>
      <c r="K23" s="153"/>
      <c r="M23" s="139"/>
      <c r="N23" s="139"/>
      <c r="O23" s="139"/>
      <c r="P23" s="139"/>
      <c r="Q23" s="139"/>
      <c r="R23" s="139"/>
    </row>
    <row r="24" spans="1:18" s="11" customFormat="1" ht="60" customHeight="1" x14ac:dyDescent="0.2">
      <c r="A24" s="140" t="s">
        <v>22</v>
      </c>
      <c r="B24" s="141"/>
      <c r="C24" s="141"/>
      <c r="D24" s="141"/>
      <c r="E24" s="141"/>
      <c r="F24" s="141"/>
      <c r="G24" s="141"/>
      <c r="H24" s="141"/>
      <c r="I24" s="142"/>
      <c r="J24" s="152" t="s">
        <v>23</v>
      </c>
      <c r="K24" s="153"/>
      <c r="M24" s="139"/>
      <c r="N24" s="139"/>
      <c r="O24" s="139"/>
      <c r="P24" s="139"/>
      <c r="Q24" s="139"/>
      <c r="R24" s="139"/>
    </row>
    <row r="25" spans="1:18" s="11" customFormat="1" ht="43.5" customHeight="1" x14ac:dyDescent="0.2">
      <c r="A25" s="140" t="s">
        <v>24</v>
      </c>
      <c r="B25" s="141"/>
      <c r="C25" s="141"/>
      <c r="D25" s="141"/>
      <c r="E25" s="141"/>
      <c r="F25" s="141"/>
      <c r="G25" s="141"/>
      <c r="H25" s="141"/>
      <c r="I25" s="142"/>
      <c r="J25" s="152" t="s">
        <v>25</v>
      </c>
      <c r="K25" s="153"/>
      <c r="M25" s="139"/>
      <c r="N25" s="139"/>
      <c r="O25" s="139"/>
      <c r="P25" s="139"/>
      <c r="Q25" s="139"/>
      <c r="R25" s="139"/>
    </row>
    <row r="26" spans="1:18" s="11" customFormat="1" ht="47.25" customHeight="1" x14ac:dyDescent="0.2">
      <c r="A26" s="149" t="s">
        <v>26</v>
      </c>
      <c r="B26" s="150"/>
      <c r="C26" s="150"/>
      <c r="D26" s="150"/>
      <c r="E26" s="150"/>
      <c r="F26" s="150"/>
      <c r="G26" s="150"/>
      <c r="H26" s="150"/>
      <c r="I26" s="151"/>
      <c r="J26" s="152" t="s">
        <v>25</v>
      </c>
      <c r="K26" s="153"/>
      <c r="M26" s="139"/>
      <c r="N26" s="139"/>
      <c r="O26" s="139"/>
      <c r="P26" s="139"/>
      <c r="Q26" s="139"/>
      <c r="R26" s="139"/>
    </row>
    <row r="27" spans="1:18" ht="5.25" customHeight="1" x14ac:dyDescent="0.2">
      <c r="M27" s="12"/>
    </row>
    <row r="28" spans="1:18" ht="15" customHeight="1" x14ac:dyDescent="0.2">
      <c r="A28" s="166" t="s">
        <v>27</v>
      </c>
      <c r="B28" s="167"/>
      <c r="C28" s="167"/>
      <c r="D28" s="167"/>
      <c r="E28" s="167"/>
      <c r="F28" s="167"/>
      <c r="G28" s="167"/>
      <c r="H28" s="167"/>
      <c r="I28" s="167"/>
      <c r="J28" s="167"/>
      <c r="K28" s="168"/>
    </row>
    <row r="29" spans="1:18" ht="15" customHeight="1" x14ac:dyDescent="0.2">
      <c r="A29" s="169" t="s">
        <v>28</v>
      </c>
      <c r="B29" s="170"/>
      <c r="C29" s="170"/>
      <c r="D29" s="170"/>
      <c r="E29" s="170"/>
      <c r="F29" s="170"/>
      <c r="G29" s="170"/>
      <c r="H29" s="170"/>
      <c r="I29" s="170"/>
      <c r="J29" s="170"/>
      <c r="K29" s="171"/>
    </row>
    <row r="30" spans="1:18" ht="13.5" customHeight="1" x14ac:dyDescent="0.2">
      <c r="A30" s="172" t="s">
        <v>29</v>
      </c>
      <c r="B30" s="173"/>
      <c r="C30" s="173"/>
      <c r="D30" s="173"/>
      <c r="E30" s="173"/>
      <c r="F30" s="173"/>
      <c r="G30" s="173"/>
      <c r="H30" s="173"/>
      <c r="I30" s="173"/>
      <c r="J30" s="173"/>
      <c r="K30" s="174"/>
    </row>
    <row r="31" spans="1:18" ht="15" customHeight="1" x14ac:dyDescent="0.2">
      <c r="A31" s="169" t="s">
        <v>30</v>
      </c>
      <c r="B31" s="170"/>
      <c r="C31" s="170"/>
      <c r="D31" s="170"/>
      <c r="E31" s="170"/>
      <c r="F31" s="170"/>
      <c r="G31" s="170"/>
      <c r="H31" s="170"/>
      <c r="I31" s="170"/>
      <c r="J31" s="170"/>
      <c r="K31" s="171"/>
    </row>
    <row r="32" spans="1:18" ht="12" customHeight="1" x14ac:dyDescent="0.2">
      <c r="A32" s="175" t="s">
        <v>31</v>
      </c>
      <c r="B32" s="135"/>
      <c r="C32" s="135"/>
      <c r="D32" s="135"/>
      <c r="E32" s="135"/>
      <c r="F32" s="135"/>
      <c r="G32" s="135"/>
      <c r="H32" s="135"/>
      <c r="I32" s="135"/>
      <c r="J32" s="135"/>
      <c r="K32" s="176"/>
    </row>
    <row r="33" spans="1:11" ht="16.5" customHeight="1" x14ac:dyDescent="0.2">
      <c r="A33" s="161" t="s">
        <v>32</v>
      </c>
      <c r="B33" s="162"/>
      <c r="C33" s="162"/>
      <c r="D33" s="162"/>
      <c r="E33" s="162"/>
      <c r="F33" s="162"/>
      <c r="G33" s="162"/>
      <c r="H33" s="162"/>
      <c r="I33" s="162"/>
      <c r="J33" s="162"/>
      <c r="K33" s="163"/>
    </row>
    <row r="34" spans="1:11" ht="2.25" customHeight="1" x14ac:dyDescent="0.2">
      <c r="B34" s="13"/>
      <c r="C34" s="13"/>
      <c r="D34" s="13"/>
      <c r="E34" s="13"/>
      <c r="F34" s="13"/>
      <c r="G34" s="13"/>
      <c r="H34" s="13"/>
      <c r="I34" s="13"/>
      <c r="J34" s="13"/>
      <c r="K34" s="13"/>
    </row>
    <row r="35" spans="1:11" ht="48" customHeight="1" x14ac:dyDescent="0.2">
      <c r="A35" s="164" t="s">
        <v>33</v>
      </c>
      <c r="B35" s="165"/>
      <c r="C35" s="165"/>
      <c r="D35" s="165"/>
      <c r="E35" s="165"/>
      <c r="F35" s="165"/>
      <c r="G35" s="165"/>
      <c r="H35" s="165"/>
      <c r="I35" s="165"/>
      <c r="J35" s="165"/>
      <c r="K35" s="165"/>
    </row>
  </sheetData>
  <mergeCells count="34">
    <mergeCell ref="A33:K33"/>
    <mergeCell ref="A35:K35"/>
    <mergeCell ref="A26:I26"/>
    <mergeCell ref="J26:K26"/>
    <mergeCell ref="A28:K28"/>
    <mergeCell ref="A29:K29"/>
    <mergeCell ref="A30:K30"/>
    <mergeCell ref="A31:K31"/>
    <mergeCell ref="A32:K32"/>
    <mergeCell ref="G15:I15"/>
    <mergeCell ref="F16:J16"/>
    <mergeCell ref="F17:J17"/>
    <mergeCell ref="A19:I19"/>
    <mergeCell ref="J19:K19"/>
    <mergeCell ref="M19:R26"/>
    <mergeCell ref="A20:I20"/>
    <mergeCell ref="J20:K22"/>
    <mergeCell ref="A21:I21"/>
    <mergeCell ref="A22:I22"/>
    <mergeCell ref="J24:K24"/>
    <mergeCell ref="A25:I25"/>
    <mergeCell ref="J25:K25"/>
    <mergeCell ref="A23:I23"/>
    <mergeCell ref="J23:K23"/>
    <mergeCell ref="A24:I24"/>
    <mergeCell ref="M11:N11"/>
    <mergeCell ref="M1:Q1"/>
    <mergeCell ref="M2:Q2"/>
    <mergeCell ref="M4:Q4"/>
    <mergeCell ref="M5:Q5"/>
    <mergeCell ref="M9:Q9"/>
    <mergeCell ref="M10:Q10"/>
    <mergeCell ref="M6:Q6"/>
    <mergeCell ref="M8:Q8"/>
  </mergeCells>
  <printOptions horizontalCentered="1"/>
  <pageMargins left="0.39370078740157477" right="0.39370078740157477" top="0.39370078740157477" bottom="0.39370078740157477" header="0.39370078740157477" footer="0.39370078740157477"/>
  <pageSetup paperSize="9" scale="8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71"/>
  <sheetViews>
    <sheetView zoomScale="90" workbookViewId="0">
      <selection activeCell="P17" sqref="P17"/>
    </sheetView>
  </sheetViews>
  <sheetFormatPr defaultColWidth="8.5703125" defaultRowHeight="11.25" x14ac:dyDescent="0.2"/>
  <cols>
    <col min="1" max="1" width="3.42578125" style="14" customWidth="1"/>
    <col min="2" max="2" width="34.42578125" style="14" customWidth="1"/>
    <col min="3" max="3" width="6" style="14" customWidth="1"/>
    <col min="4" max="4" width="9.5703125" style="14" customWidth="1"/>
    <col min="5" max="5" width="5.5703125" style="14" customWidth="1"/>
    <col min="6" max="6" width="6" style="14" customWidth="1"/>
    <col min="7" max="7" width="5.5703125" style="14" customWidth="1"/>
    <col min="8" max="8" width="5.7109375" style="14" customWidth="1"/>
    <col min="9" max="9" width="3.5703125" style="14" customWidth="1"/>
    <col min="10" max="10" width="4.140625" style="14" customWidth="1"/>
    <col min="11" max="13" width="4.5703125" style="14" customWidth="1"/>
    <col min="14" max="14" width="7.140625" style="14" customWidth="1"/>
    <col min="15" max="15" width="4.5703125" style="14" customWidth="1"/>
    <col min="16" max="16" width="4" style="14" customWidth="1"/>
    <col min="17" max="17" width="5.42578125" style="14" customWidth="1"/>
    <col min="18" max="18" width="10.28515625" style="14" customWidth="1"/>
    <col min="19" max="19" width="8" style="14" customWidth="1"/>
    <col min="20" max="20" width="6" style="14" customWidth="1"/>
    <col min="21" max="21" width="5.7109375" style="14" customWidth="1"/>
    <col min="22" max="22" width="5.42578125" style="14" customWidth="1"/>
    <col min="23" max="23" width="5.7109375" style="14" customWidth="1"/>
    <col min="24" max="24" width="5" style="14" customWidth="1"/>
    <col min="25" max="25" width="6" style="14" customWidth="1"/>
    <col min="26" max="26" width="6.140625" style="14" customWidth="1"/>
    <col min="27" max="27" width="5.42578125" style="14" customWidth="1"/>
    <col min="28" max="28" width="7.28515625" style="14" customWidth="1"/>
    <col min="29" max="29" width="8.42578125" style="14" customWidth="1"/>
    <col min="30" max="16384" width="8.5703125" style="14"/>
  </cols>
  <sheetData>
    <row r="1" spans="1:29" s="2" customFormat="1" ht="14.25" customHeight="1" x14ac:dyDescent="0.25">
      <c r="A1" s="179" t="s">
        <v>34</v>
      </c>
      <c r="B1" s="179"/>
      <c r="C1" s="179"/>
      <c r="D1" s="179"/>
      <c r="E1" s="179"/>
      <c r="F1" s="179"/>
      <c r="G1" s="179"/>
      <c r="H1" s="179"/>
      <c r="I1" s="179"/>
      <c r="J1" s="179"/>
      <c r="K1" s="179"/>
      <c r="L1" s="179"/>
      <c r="M1" s="179"/>
      <c r="N1" s="179"/>
      <c r="O1" s="179"/>
      <c r="P1" s="179"/>
      <c r="Q1" s="179"/>
      <c r="R1" s="179"/>
      <c r="S1" s="179"/>
      <c r="T1" s="135"/>
      <c r="U1" s="135"/>
      <c r="V1" s="135"/>
      <c r="W1" s="135"/>
      <c r="X1" s="135"/>
      <c r="Y1" s="135"/>
      <c r="Z1" s="135"/>
      <c r="AA1" s="135"/>
      <c r="AB1" s="135"/>
      <c r="AC1" s="135"/>
    </row>
    <row r="2" spans="1:29" s="2" customFormat="1" ht="12" customHeight="1" x14ac:dyDescent="0.25">
      <c r="A2" s="10"/>
      <c r="B2" s="10"/>
      <c r="C2" s="10"/>
      <c r="D2" s="10"/>
      <c r="E2" s="10"/>
      <c r="F2" s="10"/>
      <c r="G2" s="10"/>
      <c r="H2" s="10"/>
      <c r="I2" s="10"/>
      <c r="J2" s="10"/>
      <c r="K2" s="10"/>
      <c r="L2" s="10"/>
      <c r="M2" s="10"/>
      <c r="N2" s="10"/>
      <c r="O2" s="10"/>
      <c r="P2" s="10"/>
      <c r="Q2" s="10"/>
      <c r="R2" s="4"/>
      <c r="S2" s="4"/>
      <c r="T2" s="15"/>
      <c r="U2" s="15"/>
      <c r="V2" s="15"/>
      <c r="W2" s="15"/>
      <c r="X2" s="15"/>
      <c r="Y2" s="15"/>
      <c r="Z2" s="15"/>
      <c r="AA2" s="15"/>
      <c r="AB2" s="15"/>
      <c r="AC2" s="16"/>
    </row>
    <row r="3" spans="1:29" s="2" customFormat="1" ht="0.75" customHeight="1" x14ac:dyDescent="0.25">
      <c r="A3" s="10"/>
      <c r="B3" s="10"/>
      <c r="C3" s="10"/>
      <c r="D3" s="10"/>
      <c r="E3" s="10"/>
      <c r="F3" s="10"/>
      <c r="G3" s="10"/>
      <c r="H3" s="10"/>
      <c r="I3" s="10"/>
      <c r="J3" s="10"/>
      <c r="K3" s="10"/>
      <c r="L3" s="10"/>
      <c r="M3" s="10"/>
      <c r="N3" s="10"/>
      <c r="O3" s="10"/>
      <c r="P3" s="10"/>
      <c r="Q3" s="10"/>
      <c r="R3" s="10"/>
      <c r="S3" s="10"/>
    </row>
    <row r="4" spans="1:29" s="17" customFormat="1" ht="15.75" customHeight="1" x14ac:dyDescent="0.2">
      <c r="A4" s="180"/>
      <c r="B4" s="181"/>
      <c r="C4" s="182" t="s">
        <v>35</v>
      </c>
      <c r="D4" s="183" t="s">
        <v>36</v>
      </c>
      <c r="E4" s="185" t="s">
        <v>37</v>
      </c>
      <c r="F4" s="186"/>
      <c r="G4" s="187"/>
      <c r="H4" s="191" t="s">
        <v>38</v>
      </c>
      <c r="I4" s="192"/>
      <c r="J4" s="192"/>
      <c r="K4" s="192"/>
      <c r="L4" s="192"/>
      <c r="M4" s="192"/>
      <c r="N4" s="192"/>
      <c r="O4" s="192"/>
      <c r="P4" s="192"/>
      <c r="Q4" s="193"/>
      <c r="R4" s="185" t="s">
        <v>39</v>
      </c>
      <c r="S4" s="197"/>
      <c r="T4" s="185" t="s">
        <v>40</v>
      </c>
      <c r="U4" s="186"/>
      <c r="V4" s="186"/>
      <c r="W4" s="186"/>
      <c r="X4" s="186"/>
      <c r="Y4" s="186"/>
      <c r="Z4" s="186"/>
      <c r="AA4" s="186"/>
      <c r="AB4" s="202" t="s">
        <v>41</v>
      </c>
      <c r="AC4" s="202" t="s">
        <v>42</v>
      </c>
    </row>
    <row r="5" spans="1:29" s="17" customFormat="1" ht="46.5" customHeight="1" x14ac:dyDescent="0.2">
      <c r="A5" s="181"/>
      <c r="B5" s="181"/>
      <c r="C5" s="182"/>
      <c r="D5" s="183"/>
      <c r="E5" s="188"/>
      <c r="F5" s="189"/>
      <c r="G5" s="190"/>
      <c r="H5" s="194"/>
      <c r="I5" s="195"/>
      <c r="J5" s="195"/>
      <c r="K5" s="195"/>
      <c r="L5" s="195"/>
      <c r="M5" s="195"/>
      <c r="N5" s="195"/>
      <c r="O5" s="195"/>
      <c r="P5" s="195"/>
      <c r="Q5" s="196"/>
      <c r="R5" s="198"/>
      <c r="S5" s="199"/>
      <c r="T5" s="200"/>
      <c r="U5" s="201"/>
      <c r="V5" s="201"/>
      <c r="W5" s="201"/>
      <c r="X5" s="201"/>
      <c r="Y5" s="201"/>
      <c r="Z5" s="201"/>
      <c r="AA5" s="201"/>
      <c r="AB5" s="203"/>
      <c r="AC5" s="205"/>
    </row>
    <row r="6" spans="1:29" s="17" customFormat="1" ht="145.5" customHeight="1" x14ac:dyDescent="0.2">
      <c r="A6" s="181"/>
      <c r="B6" s="181"/>
      <c r="C6" s="182"/>
      <c r="D6" s="184"/>
      <c r="E6" s="21" t="s">
        <v>43</v>
      </c>
      <c r="F6" s="21" t="s">
        <v>44</v>
      </c>
      <c r="G6" s="21" t="s">
        <v>45</v>
      </c>
      <c r="H6" s="18" t="s">
        <v>46</v>
      </c>
      <c r="I6" s="18" t="s">
        <v>47</v>
      </c>
      <c r="J6" s="18" t="s">
        <v>48</v>
      </c>
      <c r="K6" s="18" t="s">
        <v>49</v>
      </c>
      <c r="L6" s="18" t="s">
        <v>50</v>
      </c>
      <c r="M6" s="18" t="s">
        <v>51</v>
      </c>
      <c r="N6" s="21" t="s">
        <v>52</v>
      </c>
      <c r="O6" s="21" t="s">
        <v>53</v>
      </c>
      <c r="P6" s="21" t="s">
        <v>54</v>
      </c>
      <c r="Q6" s="21" t="s">
        <v>55</v>
      </c>
      <c r="R6" s="21" t="s">
        <v>56</v>
      </c>
      <c r="S6" s="22" t="s">
        <v>57</v>
      </c>
      <c r="T6" s="23" t="s">
        <v>58</v>
      </c>
      <c r="U6" s="24" t="s">
        <v>59</v>
      </c>
      <c r="V6" s="23" t="s">
        <v>60</v>
      </c>
      <c r="W6" s="24" t="s">
        <v>61</v>
      </c>
      <c r="X6" s="23" t="s">
        <v>62</v>
      </c>
      <c r="Y6" s="23" t="s">
        <v>63</v>
      </c>
      <c r="Z6" s="23" t="s">
        <v>64</v>
      </c>
      <c r="AA6" s="23" t="s">
        <v>65</v>
      </c>
      <c r="AB6" s="204"/>
      <c r="AC6" s="206"/>
    </row>
    <row r="7" spans="1:29" s="25" customFormat="1" ht="15.75" customHeight="1" x14ac:dyDescent="0.2">
      <c r="A7" s="207" t="s">
        <v>66</v>
      </c>
      <c r="B7" s="208"/>
      <c r="C7" s="27" t="s">
        <v>67</v>
      </c>
      <c r="D7" s="27" t="s">
        <v>68</v>
      </c>
      <c r="E7" s="26" t="s">
        <v>69</v>
      </c>
      <c r="F7" s="26" t="s">
        <v>70</v>
      </c>
      <c r="G7" s="26" t="s">
        <v>71</v>
      </c>
      <c r="H7" s="26" t="s">
        <v>72</v>
      </c>
      <c r="I7" s="26" t="s">
        <v>73</v>
      </c>
      <c r="J7" s="27" t="s">
        <v>74</v>
      </c>
      <c r="K7" s="27" t="s">
        <v>75</v>
      </c>
      <c r="L7" s="27" t="s">
        <v>76</v>
      </c>
      <c r="M7" s="27" t="s">
        <v>77</v>
      </c>
      <c r="N7" s="27" t="s">
        <v>78</v>
      </c>
      <c r="O7" s="27" t="s">
        <v>79</v>
      </c>
      <c r="P7" s="27" t="s">
        <v>80</v>
      </c>
      <c r="Q7" s="27" t="s">
        <v>81</v>
      </c>
      <c r="R7" s="27" t="s">
        <v>82</v>
      </c>
      <c r="S7" s="27" t="s">
        <v>83</v>
      </c>
      <c r="T7" s="27" t="s">
        <v>84</v>
      </c>
      <c r="U7" s="27" t="s">
        <v>85</v>
      </c>
      <c r="V7" s="27" t="s">
        <v>86</v>
      </c>
      <c r="W7" s="27" t="s">
        <v>87</v>
      </c>
      <c r="X7" s="27" t="s">
        <v>88</v>
      </c>
      <c r="Y7" s="27" t="s">
        <v>89</v>
      </c>
      <c r="Z7" s="27" t="s">
        <v>90</v>
      </c>
      <c r="AA7" s="27" t="s">
        <v>91</v>
      </c>
      <c r="AB7" s="27" t="s">
        <v>92</v>
      </c>
      <c r="AC7" s="20">
        <v>26</v>
      </c>
    </row>
    <row r="8" spans="1:29" s="25" customFormat="1" ht="17.25" customHeight="1" x14ac:dyDescent="0.2">
      <c r="A8" s="209" t="s">
        <v>93</v>
      </c>
      <c r="B8" s="210"/>
      <c r="C8" s="27" t="s">
        <v>68</v>
      </c>
      <c r="D8" s="28">
        <f>D9+D38</f>
        <v>2755</v>
      </c>
      <c r="E8" s="28">
        <f t="shared" ref="E8:AC8" si="0">E9+E38</f>
        <v>186</v>
      </c>
      <c r="F8" s="28">
        <f t="shared" si="0"/>
        <v>2461</v>
      </c>
      <c r="G8" s="28">
        <f t="shared" si="0"/>
        <v>108</v>
      </c>
      <c r="H8" s="28">
        <f t="shared" si="0"/>
        <v>1622</v>
      </c>
      <c r="I8" s="28">
        <f t="shared" si="0"/>
        <v>85</v>
      </c>
      <c r="J8" s="28">
        <f t="shared" si="0"/>
        <v>0</v>
      </c>
      <c r="K8" s="28">
        <f t="shared" si="0"/>
        <v>87</v>
      </c>
      <c r="L8" s="29">
        <f t="shared" si="0"/>
        <v>0</v>
      </c>
      <c r="M8" s="29">
        <f t="shared" si="0"/>
        <v>0</v>
      </c>
      <c r="N8" s="29">
        <f t="shared" si="0"/>
        <v>0</v>
      </c>
      <c r="O8" s="28">
        <f t="shared" si="0"/>
        <v>104</v>
      </c>
      <c r="P8" s="28">
        <f t="shared" si="0"/>
        <v>10</v>
      </c>
      <c r="Q8" s="28">
        <f t="shared" si="0"/>
        <v>847</v>
      </c>
      <c r="R8" s="28">
        <f t="shared" si="0"/>
        <v>2646</v>
      </c>
      <c r="S8" s="28">
        <f t="shared" si="0"/>
        <v>1850</v>
      </c>
      <c r="T8" s="28">
        <f t="shared" si="0"/>
        <v>2464</v>
      </c>
      <c r="U8" s="28">
        <f t="shared" si="0"/>
        <v>114</v>
      </c>
      <c r="V8" s="28">
        <f t="shared" si="0"/>
        <v>147</v>
      </c>
      <c r="W8" s="28">
        <f t="shared" si="0"/>
        <v>2</v>
      </c>
      <c r="X8" s="29">
        <f t="shared" si="0"/>
        <v>0</v>
      </c>
      <c r="Y8" s="28">
        <f t="shared" si="0"/>
        <v>2</v>
      </c>
      <c r="Z8" s="28">
        <f t="shared" si="0"/>
        <v>2</v>
      </c>
      <c r="AA8" s="28">
        <f t="shared" si="0"/>
        <v>125</v>
      </c>
      <c r="AB8" s="28">
        <f t="shared" si="0"/>
        <v>81270</v>
      </c>
      <c r="AC8" s="28">
        <f t="shared" si="0"/>
        <v>291455</v>
      </c>
    </row>
    <row r="9" spans="1:29" s="25" customFormat="1" ht="18.600000000000001" customHeight="1" x14ac:dyDescent="0.2">
      <c r="A9" s="211" t="s">
        <v>94</v>
      </c>
      <c r="B9" s="212"/>
      <c r="C9" s="27" t="s">
        <v>69</v>
      </c>
      <c r="D9" s="28">
        <f>SUM(D10:D14)+D24+D26+D30+D31+D32+D34+D35+D36+D37+D10+D11</f>
        <v>17</v>
      </c>
      <c r="E9" s="28">
        <f>SUM(E10:E14)+E24+E26+E30+E31+E32+E34+E35+E36+E37+E10+E11</f>
        <v>7</v>
      </c>
      <c r="F9" s="28">
        <f>SUM(F10:F14)+F24+F26+F30+F31+F32+F34+F35+F36+F37+F10+F11</f>
        <v>10</v>
      </c>
      <c r="G9" s="29">
        <f t="shared" ref="G9:AA9" si="1">SUM(G10:G14)+G24+G26+G30+G31+G32+G34+G35+G36+G37</f>
        <v>0</v>
      </c>
      <c r="H9" s="29">
        <f t="shared" si="1"/>
        <v>0</v>
      </c>
      <c r="I9" s="29">
        <f t="shared" si="1"/>
        <v>0</v>
      </c>
      <c r="J9" s="29">
        <f t="shared" si="1"/>
        <v>0</v>
      </c>
      <c r="K9" s="28">
        <f>SUM(K10:K14)+K24+K26+K30+K31+K32+K34+K35+K36+K37+K10+K11</f>
        <v>0</v>
      </c>
      <c r="L9" s="29">
        <f t="shared" si="1"/>
        <v>0</v>
      </c>
      <c r="M9" s="29">
        <f t="shared" si="1"/>
        <v>0</v>
      </c>
      <c r="N9" s="29">
        <f t="shared" si="1"/>
        <v>0</v>
      </c>
      <c r="O9" s="29">
        <f t="shared" si="1"/>
        <v>0</v>
      </c>
      <c r="P9" s="28">
        <f>SUM(P10:P14)+P24+P26+P30+P31+P32+P34+P35+P36+P37+P10+P11</f>
        <v>10</v>
      </c>
      <c r="Q9" s="28">
        <f t="shared" ref="Q9:V9" si="2">SUM(Q10:Q14)+Q24+Q26+Q30+Q31+Q32+Q34+Q35+Q36+Q37+Q10+Q11</f>
        <v>7</v>
      </c>
      <c r="R9" s="28">
        <f t="shared" si="2"/>
        <v>17</v>
      </c>
      <c r="S9" s="28">
        <f t="shared" si="2"/>
        <v>5</v>
      </c>
      <c r="T9" s="28">
        <f t="shared" si="2"/>
        <v>12</v>
      </c>
      <c r="U9" s="28">
        <f t="shared" si="2"/>
        <v>2</v>
      </c>
      <c r="V9" s="28">
        <f t="shared" si="2"/>
        <v>3</v>
      </c>
      <c r="W9" s="29">
        <f t="shared" si="1"/>
        <v>0</v>
      </c>
      <c r="X9" s="29">
        <f t="shared" si="1"/>
        <v>0</v>
      </c>
      <c r="Y9" s="29">
        <f t="shared" si="1"/>
        <v>0</v>
      </c>
      <c r="Z9" s="29">
        <f t="shared" si="1"/>
        <v>0</v>
      </c>
      <c r="AA9" s="29">
        <f t="shared" si="1"/>
        <v>0</v>
      </c>
      <c r="AB9" s="28">
        <f>SUM(AB10:AB14)+AB24+AB26+AB30+AB31+AB32+AB34+AB35+AB36+AB37+AB10+AB11</f>
        <v>892</v>
      </c>
      <c r="AC9" s="28">
        <f>SUM(AC10:AC14)+AC24+AC26+AC30+AC31+AC32+AC34+AC35+AC36+AC37+AC10+AC11</f>
        <v>7447</v>
      </c>
    </row>
    <row r="10" spans="1:29" s="25" customFormat="1" ht="31.5" customHeight="1" x14ac:dyDescent="0.2">
      <c r="A10" s="177" t="s">
        <v>95</v>
      </c>
      <c r="B10" s="178"/>
      <c r="C10" s="32" t="s">
        <v>96</v>
      </c>
      <c r="D10" s="33" t="s">
        <v>68</v>
      </c>
      <c r="E10" s="34"/>
      <c r="F10" s="34" t="s">
        <v>68</v>
      </c>
      <c r="G10" s="34"/>
      <c r="H10" s="34"/>
      <c r="I10" s="34"/>
      <c r="J10" s="33"/>
      <c r="K10" s="33"/>
      <c r="L10" s="33"/>
      <c r="M10" s="33"/>
      <c r="N10" s="33"/>
      <c r="O10" s="33"/>
      <c r="P10" s="33" t="s">
        <v>68</v>
      </c>
      <c r="Q10" s="33"/>
      <c r="R10" s="33" t="s">
        <v>68</v>
      </c>
      <c r="S10" s="33"/>
      <c r="T10" s="33" t="s">
        <v>68</v>
      </c>
      <c r="U10" s="33"/>
      <c r="V10" s="33"/>
      <c r="W10" s="33"/>
      <c r="X10" s="33"/>
      <c r="Y10" s="33"/>
      <c r="Z10" s="33"/>
      <c r="AA10" s="33"/>
      <c r="AB10" s="33" t="s">
        <v>97</v>
      </c>
      <c r="AC10" s="35">
        <v>800</v>
      </c>
    </row>
    <row r="11" spans="1:29" s="25" customFormat="1" ht="21" customHeight="1" x14ac:dyDescent="0.2">
      <c r="A11" s="30"/>
      <c r="B11" s="31" t="s">
        <v>98</v>
      </c>
      <c r="C11" s="32" t="s">
        <v>99</v>
      </c>
      <c r="D11" s="33" t="s">
        <v>68</v>
      </c>
      <c r="E11" s="34" t="s">
        <v>68</v>
      </c>
      <c r="F11" s="34"/>
      <c r="G11" s="34"/>
      <c r="H11" s="34"/>
      <c r="I11" s="34"/>
      <c r="J11" s="33"/>
      <c r="K11" s="33"/>
      <c r="L11" s="33"/>
      <c r="M11" s="33"/>
      <c r="N11" s="33"/>
      <c r="O11" s="33"/>
      <c r="P11" s="33"/>
      <c r="Q11" s="33" t="s">
        <v>68</v>
      </c>
      <c r="R11" s="33" t="s">
        <v>68</v>
      </c>
      <c r="S11" s="33" t="s">
        <v>68</v>
      </c>
      <c r="T11" s="33"/>
      <c r="U11" s="33" t="s">
        <v>68</v>
      </c>
      <c r="V11" s="33"/>
      <c r="W11" s="33"/>
      <c r="X11" s="33"/>
      <c r="Y11" s="33"/>
      <c r="Z11" s="33"/>
      <c r="AA11" s="33"/>
      <c r="AB11" s="33" t="s">
        <v>100</v>
      </c>
      <c r="AC11" s="35">
        <v>2280</v>
      </c>
    </row>
    <row r="12" spans="1:29" s="25" customFormat="1" ht="37.5" customHeight="1" x14ac:dyDescent="0.2">
      <c r="A12" s="177" t="s">
        <v>101</v>
      </c>
      <c r="B12" s="178"/>
      <c r="C12" s="32" t="s">
        <v>102</v>
      </c>
      <c r="D12" s="33"/>
      <c r="E12" s="34"/>
      <c r="F12" s="34"/>
      <c r="G12" s="34"/>
      <c r="H12" s="34"/>
      <c r="I12" s="34"/>
      <c r="J12" s="33"/>
      <c r="K12" s="33"/>
      <c r="L12" s="33"/>
      <c r="M12" s="33"/>
      <c r="N12" s="33"/>
      <c r="O12" s="33"/>
      <c r="P12" s="33"/>
      <c r="Q12" s="33"/>
      <c r="R12" s="33"/>
      <c r="S12" s="33"/>
      <c r="T12" s="33"/>
      <c r="U12" s="33"/>
      <c r="V12" s="33"/>
      <c r="W12" s="33"/>
      <c r="X12" s="33"/>
      <c r="Y12" s="33"/>
      <c r="Z12" s="33"/>
      <c r="AA12" s="33"/>
      <c r="AB12" s="33"/>
      <c r="AC12" s="36"/>
    </row>
    <row r="13" spans="1:29" s="25" customFormat="1" ht="19.5" customHeight="1" x14ac:dyDescent="0.2">
      <c r="A13" s="177" t="s">
        <v>103</v>
      </c>
      <c r="B13" s="178"/>
      <c r="C13" s="32" t="s">
        <v>104</v>
      </c>
      <c r="D13" s="33"/>
      <c r="E13" s="34"/>
      <c r="F13" s="34"/>
      <c r="G13" s="34"/>
      <c r="H13" s="34"/>
      <c r="I13" s="34"/>
      <c r="J13" s="33"/>
      <c r="K13" s="33"/>
      <c r="L13" s="33"/>
      <c r="M13" s="33"/>
      <c r="N13" s="33"/>
      <c r="O13" s="33"/>
      <c r="P13" s="33"/>
      <c r="Q13" s="33"/>
      <c r="R13" s="33"/>
      <c r="S13" s="33"/>
      <c r="T13" s="33"/>
      <c r="U13" s="33"/>
      <c r="V13" s="33"/>
      <c r="W13" s="33"/>
      <c r="X13" s="33"/>
      <c r="Y13" s="33"/>
      <c r="Z13" s="33"/>
      <c r="AA13" s="33"/>
      <c r="AB13" s="33"/>
      <c r="AC13" s="36"/>
    </row>
    <row r="14" spans="1:29" s="25" customFormat="1" ht="16.7" customHeight="1" x14ac:dyDescent="0.2">
      <c r="A14" s="177" t="s">
        <v>105</v>
      </c>
      <c r="B14" s="178"/>
      <c r="C14" s="32" t="s">
        <v>106</v>
      </c>
      <c r="D14" s="28">
        <f>D15+D16+D17+D20+D22</f>
        <v>13</v>
      </c>
      <c r="E14" s="28">
        <f t="shared" ref="E14:AC14" si="3">E15+E16+E17+E20+E22</f>
        <v>6</v>
      </c>
      <c r="F14" s="28">
        <f t="shared" si="3"/>
        <v>7</v>
      </c>
      <c r="G14" s="29">
        <f t="shared" si="3"/>
        <v>0</v>
      </c>
      <c r="H14" s="29">
        <f t="shared" si="3"/>
        <v>0</v>
      </c>
      <c r="I14" s="29">
        <f t="shared" si="3"/>
        <v>0</v>
      </c>
      <c r="J14" s="29">
        <f t="shared" si="3"/>
        <v>0</v>
      </c>
      <c r="K14" s="28">
        <v>0</v>
      </c>
      <c r="L14" s="29">
        <f t="shared" si="3"/>
        <v>0</v>
      </c>
      <c r="M14" s="29">
        <f t="shared" si="3"/>
        <v>0</v>
      </c>
      <c r="N14" s="29">
        <f t="shared" si="3"/>
        <v>0</v>
      </c>
      <c r="O14" s="29">
        <f t="shared" si="3"/>
        <v>0</v>
      </c>
      <c r="P14" s="28">
        <f t="shared" si="3"/>
        <v>7</v>
      </c>
      <c r="Q14" s="28">
        <f t="shared" si="3"/>
        <v>6</v>
      </c>
      <c r="R14" s="28">
        <f t="shared" si="3"/>
        <v>13</v>
      </c>
      <c r="S14" s="28">
        <f t="shared" si="3"/>
        <v>3</v>
      </c>
      <c r="T14" s="28">
        <f t="shared" si="3"/>
        <v>9</v>
      </c>
      <c r="U14" s="28">
        <f t="shared" si="3"/>
        <v>1</v>
      </c>
      <c r="V14" s="28">
        <f t="shared" si="3"/>
        <v>3</v>
      </c>
      <c r="W14" s="29">
        <f t="shared" si="3"/>
        <v>0</v>
      </c>
      <c r="X14" s="29">
        <f t="shared" si="3"/>
        <v>0</v>
      </c>
      <c r="Y14" s="29">
        <f t="shared" si="3"/>
        <v>0</v>
      </c>
      <c r="Z14" s="29">
        <f t="shared" si="3"/>
        <v>0</v>
      </c>
      <c r="AA14" s="29">
        <f t="shared" si="3"/>
        <v>0</v>
      </c>
      <c r="AB14" s="28">
        <f t="shared" si="3"/>
        <v>409</v>
      </c>
      <c r="AC14" s="28">
        <f t="shared" si="3"/>
        <v>1167</v>
      </c>
    </row>
    <row r="15" spans="1:29" s="25" customFormat="1" ht="36" customHeight="1" x14ac:dyDescent="0.2">
      <c r="A15" s="30"/>
      <c r="B15" s="31" t="s">
        <v>107</v>
      </c>
      <c r="C15" s="32" t="s">
        <v>108</v>
      </c>
      <c r="D15" s="33" t="s">
        <v>70</v>
      </c>
      <c r="E15" s="34" t="s">
        <v>68</v>
      </c>
      <c r="F15" s="34" t="s">
        <v>69</v>
      </c>
      <c r="G15" s="34"/>
      <c r="H15" s="34"/>
      <c r="I15" s="34"/>
      <c r="J15" s="33"/>
      <c r="K15" s="33"/>
      <c r="L15" s="33"/>
      <c r="M15" s="33"/>
      <c r="N15" s="33"/>
      <c r="O15" s="33"/>
      <c r="P15" s="37" t="s">
        <v>69</v>
      </c>
      <c r="Q15" s="37" t="s">
        <v>68</v>
      </c>
      <c r="R15" s="33" t="s">
        <v>70</v>
      </c>
      <c r="S15" s="33"/>
      <c r="T15" s="33" t="s">
        <v>69</v>
      </c>
      <c r="U15" s="33" t="s">
        <v>68</v>
      </c>
      <c r="V15" s="33"/>
      <c r="W15" s="33"/>
      <c r="X15" s="33"/>
      <c r="Y15" s="33"/>
      <c r="Z15" s="33"/>
      <c r="AA15" s="33"/>
      <c r="AB15" s="33" t="s">
        <v>109</v>
      </c>
      <c r="AC15" s="35">
        <v>135</v>
      </c>
    </row>
    <row r="16" spans="1:29" s="25" customFormat="1" ht="19.5" customHeight="1" x14ac:dyDescent="0.2">
      <c r="A16" s="30"/>
      <c r="B16" s="31" t="s">
        <v>110</v>
      </c>
      <c r="C16" s="32" t="s">
        <v>111</v>
      </c>
      <c r="D16" s="33"/>
      <c r="E16" s="34"/>
      <c r="F16" s="34"/>
      <c r="G16" s="34"/>
      <c r="H16" s="34"/>
      <c r="I16" s="34"/>
      <c r="J16" s="33"/>
      <c r="K16" s="33"/>
      <c r="L16" s="33"/>
      <c r="M16" s="33"/>
      <c r="N16" s="33"/>
      <c r="O16" s="33"/>
      <c r="P16" s="33"/>
      <c r="Q16" s="33"/>
      <c r="R16" s="33"/>
      <c r="S16" s="33"/>
      <c r="T16" s="33"/>
      <c r="U16" s="33"/>
      <c r="V16" s="33"/>
      <c r="W16" s="33"/>
      <c r="X16" s="33"/>
      <c r="Y16" s="33"/>
      <c r="Z16" s="33"/>
      <c r="AA16" s="33"/>
      <c r="AB16" s="33"/>
      <c r="AC16" s="36"/>
    </row>
    <row r="17" spans="1:29" s="25" customFormat="1" ht="16.5" customHeight="1" x14ac:dyDescent="0.2">
      <c r="A17" s="30"/>
      <c r="B17" s="38" t="s">
        <v>112</v>
      </c>
      <c r="C17" s="32" t="s">
        <v>113</v>
      </c>
      <c r="D17" s="28">
        <v>6</v>
      </c>
      <c r="E17" s="39">
        <v>3</v>
      </c>
      <c r="F17" s="39">
        <v>3</v>
      </c>
      <c r="G17" s="39"/>
      <c r="H17" s="39"/>
      <c r="I17" s="39"/>
      <c r="J17" s="28"/>
      <c r="K17" s="28"/>
      <c r="L17" s="28"/>
      <c r="M17" s="28"/>
      <c r="N17" s="28"/>
      <c r="O17" s="28"/>
      <c r="P17" s="28">
        <v>3</v>
      </c>
      <c r="Q17" s="28">
        <v>3</v>
      </c>
      <c r="R17" s="28">
        <v>6</v>
      </c>
      <c r="S17" s="28"/>
      <c r="T17" s="28">
        <v>4</v>
      </c>
      <c r="U17" s="28"/>
      <c r="V17" s="28">
        <v>2</v>
      </c>
      <c r="W17" s="28"/>
      <c r="X17" s="28"/>
      <c r="Y17" s="28"/>
      <c r="Z17" s="28"/>
      <c r="AA17" s="28"/>
      <c r="AB17" s="28">
        <v>304</v>
      </c>
      <c r="AC17" s="28">
        <v>772</v>
      </c>
    </row>
    <row r="18" spans="1:29" s="25" customFormat="1" ht="25.5" customHeight="1" x14ac:dyDescent="0.2">
      <c r="A18" s="30"/>
      <c r="B18" s="40" t="s">
        <v>114</v>
      </c>
      <c r="C18" s="32" t="s">
        <v>115</v>
      </c>
      <c r="D18" s="33" t="s">
        <v>71</v>
      </c>
      <c r="E18" s="41" t="s">
        <v>69</v>
      </c>
      <c r="F18" s="41" t="s">
        <v>69</v>
      </c>
      <c r="G18" s="34"/>
      <c r="H18" s="34"/>
      <c r="I18" s="34"/>
      <c r="J18" s="33"/>
      <c r="K18" s="33"/>
      <c r="L18" s="33"/>
      <c r="M18" s="33"/>
      <c r="N18" s="33"/>
      <c r="O18" s="33"/>
      <c r="P18" s="37" t="s">
        <v>69</v>
      </c>
      <c r="Q18" s="33" t="s">
        <v>69</v>
      </c>
      <c r="R18" s="33" t="s">
        <v>71</v>
      </c>
      <c r="S18" s="33"/>
      <c r="T18" s="33" t="s">
        <v>70</v>
      </c>
      <c r="U18" s="33"/>
      <c r="V18" s="33" t="s">
        <v>68</v>
      </c>
      <c r="W18" s="33"/>
      <c r="X18" s="33"/>
      <c r="Y18" s="33"/>
      <c r="Z18" s="33"/>
      <c r="AA18" s="33"/>
      <c r="AB18" s="33" t="s">
        <v>116</v>
      </c>
      <c r="AC18" s="35">
        <v>580</v>
      </c>
    </row>
    <row r="19" spans="1:29" s="25" customFormat="1" ht="17.25" customHeight="1" x14ac:dyDescent="0.2">
      <c r="A19" s="30"/>
      <c r="B19" s="40" t="s">
        <v>117</v>
      </c>
      <c r="C19" s="32" t="s">
        <v>118</v>
      </c>
      <c r="D19" s="33" t="s">
        <v>69</v>
      </c>
      <c r="E19" s="41" t="s">
        <v>68</v>
      </c>
      <c r="F19" s="41" t="s">
        <v>68</v>
      </c>
      <c r="G19" s="34"/>
      <c r="H19" s="34"/>
      <c r="I19" s="34"/>
      <c r="J19" s="33"/>
      <c r="K19" s="33"/>
      <c r="L19" s="33"/>
      <c r="M19" s="33"/>
      <c r="N19" s="33"/>
      <c r="O19" s="33"/>
      <c r="P19" s="37" t="s">
        <v>68</v>
      </c>
      <c r="Q19" s="33" t="s">
        <v>68</v>
      </c>
      <c r="R19" s="33" t="s">
        <v>69</v>
      </c>
      <c r="S19" s="33"/>
      <c r="T19" s="33" t="s">
        <v>68</v>
      </c>
      <c r="U19" s="33" t="s">
        <v>68</v>
      </c>
      <c r="V19" s="33"/>
      <c r="W19" s="33"/>
      <c r="X19" s="33"/>
      <c r="Y19" s="33"/>
      <c r="Z19" s="33"/>
      <c r="AA19" s="33"/>
      <c r="AB19" s="33" t="s">
        <v>119</v>
      </c>
      <c r="AC19" s="35">
        <v>192</v>
      </c>
    </row>
    <row r="20" spans="1:29" s="25" customFormat="1" ht="18.75" customHeight="1" x14ac:dyDescent="0.2">
      <c r="A20" s="30"/>
      <c r="B20" s="40" t="s">
        <v>120</v>
      </c>
      <c r="C20" s="32" t="s">
        <v>121</v>
      </c>
      <c r="D20" s="33"/>
      <c r="E20" s="41"/>
      <c r="F20" s="41"/>
      <c r="G20" s="34"/>
      <c r="H20" s="34"/>
      <c r="I20" s="34"/>
      <c r="J20" s="33"/>
      <c r="K20" s="33"/>
      <c r="L20" s="33"/>
      <c r="M20" s="33"/>
      <c r="N20" s="33"/>
      <c r="O20" s="33"/>
      <c r="P20" s="33"/>
      <c r="Q20" s="33"/>
      <c r="R20" s="33"/>
      <c r="S20" s="33"/>
      <c r="T20" s="33"/>
      <c r="U20" s="33"/>
      <c r="V20" s="33"/>
      <c r="W20" s="33"/>
      <c r="X20" s="33"/>
      <c r="Y20" s="33"/>
      <c r="Z20" s="33"/>
      <c r="AA20" s="33"/>
      <c r="AB20" s="33"/>
      <c r="AC20" s="36"/>
    </row>
    <row r="21" spans="1:29" s="25" customFormat="1" ht="22.5" customHeight="1" x14ac:dyDescent="0.2">
      <c r="A21" s="30"/>
      <c r="B21" s="38" t="s">
        <v>122</v>
      </c>
      <c r="C21" s="32" t="s">
        <v>123</v>
      </c>
      <c r="D21" s="33"/>
      <c r="E21" s="41"/>
      <c r="F21" s="41"/>
      <c r="G21" s="34"/>
      <c r="H21" s="34"/>
      <c r="I21" s="34"/>
      <c r="J21" s="33"/>
      <c r="K21" s="33"/>
      <c r="L21" s="33"/>
      <c r="M21" s="33"/>
      <c r="N21" s="33"/>
      <c r="O21" s="33"/>
      <c r="P21" s="33"/>
      <c r="Q21" s="33"/>
      <c r="R21" s="33"/>
      <c r="S21" s="33"/>
      <c r="T21" s="33"/>
      <c r="U21" s="33"/>
      <c r="V21" s="33"/>
      <c r="W21" s="33"/>
      <c r="X21" s="33"/>
      <c r="Y21" s="33"/>
      <c r="Z21" s="33"/>
      <c r="AA21" s="33"/>
      <c r="AB21" s="33"/>
      <c r="AC21" s="36"/>
    </row>
    <row r="22" spans="1:29" s="25" customFormat="1" ht="19.5" customHeight="1" x14ac:dyDescent="0.2">
      <c r="A22" s="30"/>
      <c r="B22" s="38" t="s">
        <v>124</v>
      </c>
      <c r="C22" s="32" t="s">
        <v>125</v>
      </c>
      <c r="D22" s="33" t="s">
        <v>71</v>
      </c>
      <c r="E22" s="41" t="s">
        <v>69</v>
      </c>
      <c r="F22" s="41" t="s">
        <v>69</v>
      </c>
      <c r="G22" s="34"/>
      <c r="H22" s="34"/>
      <c r="I22" s="34"/>
      <c r="J22" s="33"/>
      <c r="K22" s="33"/>
      <c r="L22" s="33"/>
      <c r="M22" s="33"/>
      <c r="N22" s="33"/>
      <c r="O22" s="33"/>
      <c r="P22" s="37" t="s">
        <v>69</v>
      </c>
      <c r="Q22" s="33" t="s">
        <v>69</v>
      </c>
      <c r="R22" s="33" t="s">
        <v>71</v>
      </c>
      <c r="S22" s="33" t="s">
        <v>70</v>
      </c>
      <c r="T22" s="33" t="s">
        <v>70</v>
      </c>
      <c r="U22" s="33"/>
      <c r="V22" s="33" t="s">
        <v>68</v>
      </c>
      <c r="W22" s="33"/>
      <c r="X22" s="33"/>
      <c r="Y22" s="33"/>
      <c r="Z22" s="33"/>
      <c r="AA22" s="33"/>
      <c r="AB22" s="33" t="s">
        <v>126</v>
      </c>
      <c r="AC22" s="35">
        <v>260</v>
      </c>
    </row>
    <row r="23" spans="1:29" s="25" customFormat="1" ht="26.1" customHeight="1" x14ac:dyDescent="0.2">
      <c r="A23" s="30"/>
      <c r="B23" s="38" t="s">
        <v>127</v>
      </c>
      <c r="C23" s="32" t="s">
        <v>128</v>
      </c>
      <c r="D23" s="33" t="s">
        <v>71</v>
      </c>
      <c r="E23" s="37" t="s">
        <v>69</v>
      </c>
      <c r="F23" s="37" t="s">
        <v>69</v>
      </c>
      <c r="G23" s="33"/>
      <c r="H23" s="33"/>
      <c r="I23" s="33"/>
      <c r="J23" s="33"/>
      <c r="K23" s="33"/>
      <c r="L23" s="33"/>
      <c r="M23" s="33"/>
      <c r="N23" s="33"/>
      <c r="O23" s="33"/>
      <c r="P23" s="33" t="s">
        <v>69</v>
      </c>
      <c r="Q23" s="33" t="s">
        <v>69</v>
      </c>
      <c r="R23" s="33" t="s">
        <v>71</v>
      </c>
      <c r="S23" s="33" t="s">
        <v>70</v>
      </c>
      <c r="T23" s="33" t="s">
        <v>70</v>
      </c>
      <c r="U23" s="33"/>
      <c r="V23" s="33" t="s">
        <v>68</v>
      </c>
      <c r="W23" s="33"/>
      <c r="X23" s="33"/>
      <c r="Y23" s="33"/>
      <c r="Z23" s="33"/>
      <c r="AA23" s="33"/>
      <c r="AB23" s="33" t="s">
        <v>126</v>
      </c>
      <c r="AC23" s="35">
        <v>260</v>
      </c>
    </row>
    <row r="24" spans="1:29" s="25" customFormat="1" ht="19.5" customHeight="1" x14ac:dyDescent="0.2">
      <c r="A24" s="213" t="s">
        <v>129</v>
      </c>
      <c r="B24" s="214"/>
      <c r="C24" s="32" t="s">
        <v>130</v>
      </c>
      <c r="D24" s="33" t="s">
        <v>69</v>
      </c>
      <c r="E24" s="41"/>
      <c r="F24" s="41" t="s">
        <v>69</v>
      </c>
      <c r="G24" s="34"/>
      <c r="H24" s="34"/>
      <c r="I24" s="34"/>
      <c r="J24" s="33"/>
      <c r="K24" s="33"/>
      <c r="L24" s="33"/>
      <c r="M24" s="33"/>
      <c r="N24" s="33"/>
      <c r="O24" s="33"/>
      <c r="P24" s="33" t="s">
        <v>69</v>
      </c>
      <c r="Q24" s="33"/>
      <c r="R24" s="33" t="s">
        <v>69</v>
      </c>
      <c r="S24" s="33" t="s">
        <v>68</v>
      </c>
      <c r="T24" s="33" t="s">
        <v>69</v>
      </c>
      <c r="U24" s="42"/>
      <c r="V24" s="42"/>
      <c r="W24" s="42"/>
      <c r="X24" s="42"/>
      <c r="Y24" s="42"/>
      <c r="Z24" s="42"/>
      <c r="AA24" s="42"/>
      <c r="AB24" s="33" t="s">
        <v>119</v>
      </c>
      <c r="AC24" s="35">
        <v>120</v>
      </c>
    </row>
    <row r="25" spans="1:29" s="25" customFormat="1" ht="25.5" customHeight="1" x14ac:dyDescent="0.2">
      <c r="A25" s="43"/>
      <c r="B25" s="31" t="s">
        <v>131</v>
      </c>
      <c r="C25" s="44" t="s">
        <v>132</v>
      </c>
      <c r="D25" s="33" t="s">
        <v>68</v>
      </c>
      <c r="E25" s="37"/>
      <c r="F25" s="37" t="s">
        <v>68</v>
      </c>
      <c r="G25" s="33"/>
      <c r="H25" s="33"/>
      <c r="I25" s="33"/>
      <c r="J25" s="33"/>
      <c r="K25" s="33"/>
      <c r="L25" s="33"/>
      <c r="M25" s="33"/>
      <c r="N25" s="33"/>
      <c r="O25" s="33"/>
      <c r="P25" s="33" t="s">
        <v>68</v>
      </c>
      <c r="Q25" s="33"/>
      <c r="R25" s="33" t="s">
        <v>68</v>
      </c>
      <c r="S25" s="33"/>
      <c r="T25" s="33" t="s">
        <v>68</v>
      </c>
      <c r="U25" s="42"/>
      <c r="V25" s="42"/>
      <c r="W25" s="42"/>
      <c r="X25" s="42"/>
      <c r="Y25" s="42"/>
      <c r="Z25" s="42"/>
      <c r="AA25" s="42"/>
      <c r="AB25" s="33" t="s">
        <v>91</v>
      </c>
      <c r="AC25" s="35">
        <v>72</v>
      </c>
    </row>
    <row r="26" spans="1:29" s="25" customFormat="1" ht="27" customHeight="1" x14ac:dyDescent="0.2">
      <c r="A26" s="45"/>
      <c r="B26" s="40" t="s">
        <v>133</v>
      </c>
      <c r="C26" s="32" t="s">
        <v>134</v>
      </c>
      <c r="D26" s="46">
        <f>D27+D28+D29</f>
        <v>0</v>
      </c>
      <c r="E26" s="46">
        <f t="shared" ref="E26:AC26" si="4">E27+E28+E29</f>
        <v>0</v>
      </c>
      <c r="F26" s="46">
        <f t="shared" si="4"/>
        <v>0</v>
      </c>
      <c r="G26" s="46">
        <f t="shared" si="4"/>
        <v>0</v>
      </c>
      <c r="H26" s="46">
        <f t="shared" si="4"/>
        <v>0</v>
      </c>
      <c r="I26" s="46">
        <f t="shared" si="4"/>
        <v>0</v>
      </c>
      <c r="J26" s="46">
        <f t="shared" si="4"/>
        <v>0</v>
      </c>
      <c r="K26" s="46">
        <f t="shared" si="4"/>
        <v>0</v>
      </c>
      <c r="L26" s="46">
        <f t="shared" si="4"/>
        <v>0</v>
      </c>
      <c r="M26" s="46">
        <f t="shared" si="4"/>
        <v>0</v>
      </c>
      <c r="N26" s="46">
        <f t="shared" si="4"/>
        <v>0</v>
      </c>
      <c r="O26" s="46">
        <f t="shared" si="4"/>
        <v>0</v>
      </c>
      <c r="P26" s="46">
        <f t="shared" si="4"/>
        <v>0</v>
      </c>
      <c r="Q26" s="46">
        <f t="shared" si="4"/>
        <v>0</v>
      </c>
      <c r="R26" s="46">
        <f t="shared" si="4"/>
        <v>0</v>
      </c>
      <c r="S26" s="46">
        <f t="shared" si="4"/>
        <v>0</v>
      </c>
      <c r="T26" s="46">
        <f t="shared" si="4"/>
        <v>0</v>
      </c>
      <c r="U26" s="46">
        <f t="shared" si="4"/>
        <v>0</v>
      </c>
      <c r="V26" s="46">
        <f t="shared" si="4"/>
        <v>0</v>
      </c>
      <c r="W26" s="46">
        <f t="shared" si="4"/>
        <v>0</v>
      </c>
      <c r="X26" s="46">
        <f t="shared" si="4"/>
        <v>0</v>
      </c>
      <c r="Y26" s="46">
        <f t="shared" si="4"/>
        <v>0</v>
      </c>
      <c r="Z26" s="46">
        <f t="shared" si="4"/>
        <v>0</v>
      </c>
      <c r="AA26" s="46">
        <f t="shared" si="4"/>
        <v>0</v>
      </c>
      <c r="AB26" s="46">
        <f t="shared" si="4"/>
        <v>0</v>
      </c>
      <c r="AC26" s="46">
        <f t="shared" si="4"/>
        <v>0</v>
      </c>
    </row>
    <row r="27" spans="1:29" s="25" customFormat="1" ht="30.75" customHeight="1" x14ac:dyDescent="0.2">
      <c r="A27" s="30"/>
      <c r="B27" s="38" t="s">
        <v>135</v>
      </c>
      <c r="C27" s="32" t="s">
        <v>136</v>
      </c>
      <c r="D27" s="47"/>
      <c r="E27" s="48"/>
      <c r="F27" s="48"/>
      <c r="G27" s="48"/>
      <c r="H27" s="48"/>
      <c r="I27" s="48"/>
      <c r="J27" s="47"/>
      <c r="K27" s="47"/>
      <c r="L27" s="47"/>
      <c r="M27" s="47"/>
      <c r="N27" s="47"/>
      <c r="O27" s="47"/>
      <c r="P27" s="47"/>
      <c r="Q27" s="47"/>
      <c r="R27" s="47"/>
      <c r="S27" s="47"/>
      <c r="T27" s="47"/>
      <c r="U27" s="49"/>
      <c r="V27" s="49"/>
      <c r="W27" s="49"/>
      <c r="X27" s="49"/>
      <c r="Y27" s="49"/>
      <c r="Z27" s="49"/>
      <c r="AA27" s="49"/>
      <c r="AB27" s="47"/>
      <c r="AC27" s="50"/>
    </row>
    <row r="28" spans="1:29" s="25" customFormat="1" ht="18" customHeight="1" x14ac:dyDescent="0.2">
      <c r="A28" s="30"/>
      <c r="B28" s="38" t="s">
        <v>137</v>
      </c>
      <c r="C28" s="32" t="s">
        <v>138</v>
      </c>
      <c r="D28" s="47"/>
      <c r="E28" s="48"/>
      <c r="F28" s="48"/>
      <c r="G28" s="48"/>
      <c r="H28" s="48"/>
      <c r="I28" s="48"/>
      <c r="J28" s="47"/>
      <c r="K28" s="47"/>
      <c r="L28" s="47"/>
      <c r="M28" s="47"/>
      <c r="N28" s="47"/>
      <c r="O28" s="47"/>
      <c r="P28" s="47"/>
      <c r="Q28" s="47"/>
      <c r="R28" s="47"/>
      <c r="S28" s="47"/>
      <c r="T28" s="47"/>
      <c r="U28" s="49"/>
      <c r="V28" s="49"/>
      <c r="W28" s="49"/>
      <c r="X28" s="49"/>
      <c r="Y28" s="49"/>
      <c r="Z28" s="49"/>
      <c r="AA28" s="49"/>
      <c r="AB28" s="47"/>
      <c r="AC28" s="50"/>
    </row>
    <row r="29" spans="1:29" s="25" customFormat="1" ht="21" customHeight="1" x14ac:dyDescent="0.2">
      <c r="A29" s="30"/>
      <c r="B29" s="38" t="s">
        <v>139</v>
      </c>
      <c r="C29" s="32" t="s">
        <v>140</v>
      </c>
      <c r="D29" s="47"/>
      <c r="E29" s="48"/>
      <c r="F29" s="48"/>
      <c r="G29" s="48"/>
      <c r="H29" s="48"/>
      <c r="I29" s="48"/>
      <c r="J29" s="47"/>
      <c r="K29" s="47"/>
      <c r="L29" s="47"/>
      <c r="M29" s="47"/>
      <c r="N29" s="47"/>
      <c r="O29" s="47"/>
      <c r="P29" s="47"/>
      <c r="Q29" s="47"/>
      <c r="R29" s="47"/>
      <c r="S29" s="47"/>
      <c r="T29" s="47"/>
      <c r="U29" s="49"/>
      <c r="V29" s="49"/>
      <c r="W29" s="49"/>
      <c r="X29" s="49"/>
      <c r="Y29" s="49"/>
      <c r="Z29" s="49"/>
      <c r="AA29" s="49"/>
      <c r="AB29" s="47"/>
      <c r="AC29" s="50"/>
    </row>
    <row r="30" spans="1:29" s="25" customFormat="1" ht="27" customHeight="1" x14ac:dyDescent="0.2">
      <c r="A30" s="215" t="s">
        <v>141</v>
      </c>
      <c r="B30" s="216"/>
      <c r="C30" s="32" t="s">
        <v>142</v>
      </c>
      <c r="D30" s="47"/>
      <c r="E30" s="48"/>
      <c r="F30" s="48"/>
      <c r="G30" s="48"/>
      <c r="H30" s="48"/>
      <c r="I30" s="48"/>
      <c r="J30" s="47"/>
      <c r="K30" s="47"/>
      <c r="L30" s="47"/>
      <c r="M30" s="47"/>
      <c r="N30" s="47"/>
      <c r="O30" s="47"/>
      <c r="P30" s="47"/>
      <c r="Q30" s="47"/>
      <c r="R30" s="47"/>
      <c r="S30" s="47"/>
      <c r="T30" s="47"/>
      <c r="U30" s="49"/>
      <c r="V30" s="49"/>
      <c r="W30" s="49"/>
      <c r="X30" s="49"/>
      <c r="Y30" s="49"/>
      <c r="Z30" s="49"/>
      <c r="AA30" s="49"/>
      <c r="AB30" s="47"/>
      <c r="AC30" s="50"/>
    </row>
    <row r="31" spans="1:29" s="25" customFormat="1" ht="18.75" customHeight="1" x14ac:dyDescent="0.2">
      <c r="A31" s="215" t="s">
        <v>143</v>
      </c>
      <c r="B31" s="216"/>
      <c r="C31" s="32" t="s">
        <v>144</v>
      </c>
      <c r="D31" s="47"/>
      <c r="E31" s="48"/>
      <c r="F31" s="48"/>
      <c r="G31" s="48"/>
      <c r="H31" s="48"/>
      <c r="I31" s="48"/>
      <c r="J31" s="47"/>
      <c r="K31" s="47"/>
      <c r="L31" s="47"/>
      <c r="M31" s="47"/>
      <c r="N31" s="47"/>
      <c r="O31" s="47"/>
      <c r="P31" s="47"/>
      <c r="Q31" s="47"/>
      <c r="R31" s="47"/>
      <c r="S31" s="47"/>
      <c r="T31" s="47"/>
      <c r="U31" s="49"/>
      <c r="V31" s="49"/>
      <c r="W31" s="49"/>
      <c r="X31" s="49"/>
      <c r="Y31" s="49"/>
      <c r="Z31" s="49"/>
      <c r="AA31" s="49"/>
      <c r="AB31" s="47"/>
      <c r="AC31" s="50"/>
    </row>
    <row r="32" spans="1:29" s="25" customFormat="1" ht="18.75" customHeight="1" x14ac:dyDescent="0.2">
      <c r="A32" s="217" t="s">
        <v>145</v>
      </c>
      <c r="B32" s="217"/>
      <c r="C32" s="32" t="s">
        <v>146</v>
      </c>
      <c r="D32" s="47"/>
      <c r="E32" s="48"/>
      <c r="F32" s="48"/>
      <c r="G32" s="48"/>
      <c r="H32" s="48"/>
      <c r="I32" s="48"/>
      <c r="J32" s="47"/>
      <c r="K32" s="47"/>
      <c r="L32" s="47"/>
      <c r="M32" s="47"/>
      <c r="N32" s="47"/>
      <c r="O32" s="47"/>
      <c r="P32" s="47"/>
      <c r="Q32" s="47"/>
      <c r="R32" s="47"/>
      <c r="S32" s="47"/>
      <c r="T32" s="47"/>
      <c r="U32" s="49"/>
      <c r="V32" s="49"/>
      <c r="W32" s="49"/>
      <c r="X32" s="49"/>
      <c r="Y32" s="49"/>
      <c r="Z32" s="49"/>
      <c r="AA32" s="49"/>
      <c r="AB32" s="47"/>
      <c r="AC32" s="50"/>
    </row>
    <row r="33" spans="1:31" s="25" customFormat="1" ht="18.75" customHeight="1" x14ac:dyDescent="0.2">
      <c r="A33" s="218" t="s">
        <v>147</v>
      </c>
      <c r="B33" s="219"/>
      <c r="C33" s="32" t="s">
        <v>148</v>
      </c>
      <c r="D33" s="47"/>
      <c r="E33" s="48"/>
      <c r="F33" s="48"/>
      <c r="G33" s="48"/>
      <c r="H33" s="48"/>
      <c r="I33" s="48"/>
      <c r="J33" s="47"/>
      <c r="K33" s="47"/>
      <c r="L33" s="47"/>
      <c r="M33" s="47"/>
      <c r="N33" s="47"/>
      <c r="O33" s="47"/>
      <c r="P33" s="47"/>
      <c r="Q33" s="47"/>
      <c r="R33" s="47"/>
      <c r="S33" s="47"/>
      <c r="T33" s="47"/>
      <c r="U33" s="49"/>
      <c r="V33" s="49"/>
      <c r="W33" s="49"/>
      <c r="X33" s="49"/>
      <c r="Y33" s="49"/>
      <c r="Z33" s="49"/>
      <c r="AA33" s="49"/>
      <c r="AB33" s="47"/>
      <c r="AC33" s="50"/>
    </row>
    <row r="34" spans="1:31" s="25" customFormat="1" ht="18.75" customHeight="1" x14ac:dyDescent="0.2">
      <c r="A34" s="217" t="s">
        <v>149</v>
      </c>
      <c r="B34" s="217"/>
      <c r="C34" s="32" t="s">
        <v>150</v>
      </c>
      <c r="D34" s="47"/>
      <c r="E34" s="48"/>
      <c r="F34" s="48"/>
      <c r="G34" s="48"/>
      <c r="H34" s="48"/>
      <c r="I34" s="48"/>
      <c r="J34" s="47"/>
      <c r="K34" s="47"/>
      <c r="L34" s="47"/>
      <c r="M34" s="47"/>
      <c r="N34" s="47"/>
      <c r="O34" s="47"/>
      <c r="P34" s="47"/>
      <c r="Q34" s="47"/>
      <c r="R34" s="47"/>
      <c r="S34" s="47"/>
      <c r="T34" s="47"/>
      <c r="U34" s="49"/>
      <c r="V34" s="49"/>
      <c r="W34" s="49"/>
      <c r="X34" s="49"/>
      <c r="Y34" s="49"/>
      <c r="Z34" s="49"/>
      <c r="AA34" s="49"/>
      <c r="AB34" s="47"/>
      <c r="AC34" s="50"/>
    </row>
    <row r="35" spans="1:31" s="25" customFormat="1" ht="18.75" customHeight="1" x14ac:dyDescent="0.2">
      <c r="A35" s="177" t="s">
        <v>151</v>
      </c>
      <c r="B35" s="178"/>
      <c r="C35" s="32" t="s">
        <v>152</v>
      </c>
      <c r="D35" s="47"/>
      <c r="E35" s="48"/>
      <c r="F35" s="48"/>
      <c r="G35" s="48"/>
      <c r="H35" s="48"/>
      <c r="I35" s="48"/>
      <c r="J35" s="47"/>
      <c r="K35" s="47"/>
      <c r="L35" s="47"/>
      <c r="M35" s="47"/>
      <c r="N35" s="47"/>
      <c r="O35" s="47"/>
      <c r="P35" s="47"/>
      <c r="Q35" s="47"/>
      <c r="R35" s="47"/>
      <c r="S35" s="47"/>
      <c r="T35" s="47"/>
      <c r="U35" s="49"/>
      <c r="V35" s="49"/>
      <c r="W35" s="49"/>
      <c r="X35" s="49"/>
      <c r="Y35" s="49"/>
      <c r="Z35" s="49"/>
      <c r="AA35" s="49"/>
      <c r="AB35" s="47"/>
      <c r="AC35" s="50"/>
      <c r="AD35" s="25" t="s">
        <v>153</v>
      </c>
    </row>
    <row r="36" spans="1:31" s="25" customFormat="1" ht="22.35" customHeight="1" x14ac:dyDescent="0.2">
      <c r="A36" s="220" t="s">
        <v>154</v>
      </c>
      <c r="B36" s="221"/>
      <c r="C36" s="32" t="s">
        <v>155</v>
      </c>
      <c r="D36" s="47"/>
      <c r="E36" s="48"/>
      <c r="F36" s="48"/>
      <c r="G36" s="48"/>
      <c r="H36" s="48"/>
      <c r="I36" s="48"/>
      <c r="J36" s="47"/>
      <c r="K36" s="47"/>
      <c r="L36" s="47"/>
      <c r="M36" s="47"/>
      <c r="N36" s="47"/>
      <c r="O36" s="47"/>
      <c r="P36" s="47"/>
      <c r="Q36" s="47"/>
      <c r="R36" s="47"/>
      <c r="S36" s="47"/>
      <c r="T36" s="47"/>
      <c r="U36" s="49"/>
      <c r="V36" s="49"/>
      <c r="W36" s="49"/>
      <c r="X36" s="49"/>
      <c r="Y36" s="49"/>
      <c r="Z36" s="49"/>
      <c r="AA36" s="49"/>
      <c r="AB36" s="47"/>
      <c r="AC36" s="50"/>
    </row>
    <row r="37" spans="1:31" s="25" customFormat="1" ht="21.6" customHeight="1" x14ac:dyDescent="0.2">
      <c r="A37" s="220" t="s">
        <v>156</v>
      </c>
      <c r="B37" s="221"/>
      <c r="C37" s="32" t="s">
        <v>157</v>
      </c>
      <c r="D37" s="47"/>
      <c r="E37" s="48"/>
      <c r="F37" s="48"/>
      <c r="G37" s="48"/>
      <c r="H37" s="48"/>
      <c r="I37" s="48"/>
      <c r="J37" s="47"/>
      <c r="K37" s="47"/>
      <c r="L37" s="47"/>
      <c r="M37" s="47"/>
      <c r="N37" s="47"/>
      <c r="O37" s="47"/>
      <c r="P37" s="47"/>
      <c r="Q37" s="47"/>
      <c r="R37" s="47"/>
      <c r="S37" s="47"/>
      <c r="T37" s="47"/>
      <c r="U37" s="49"/>
      <c r="V37" s="49"/>
      <c r="W37" s="49"/>
      <c r="X37" s="49"/>
      <c r="Y37" s="49"/>
      <c r="Z37" s="49"/>
      <c r="AA37" s="49"/>
      <c r="AB37" s="47"/>
      <c r="AC37" s="50"/>
    </row>
    <row r="38" spans="1:31" s="52" customFormat="1" ht="16.5" customHeight="1" x14ac:dyDescent="0.15">
      <c r="A38" s="222" t="s">
        <v>158</v>
      </c>
      <c r="B38" s="223"/>
      <c r="C38" s="27" t="s">
        <v>70</v>
      </c>
      <c r="D38" s="53">
        <f>D39+D40+D41+D42+D43+D53+D55+D59+D60+D61+D62+D63+D64+D65+D66+D67+D68+D70+D71</f>
        <v>2738</v>
      </c>
      <c r="E38" s="53">
        <f t="shared" ref="E38:AC38" si="5">E39+E40+E41+E42+E43+E53+E55+E59+E60+E61+E62+E63+E64+E65+E66+E67+E68+E70+E71</f>
        <v>179</v>
      </c>
      <c r="F38" s="53">
        <f t="shared" si="5"/>
        <v>2451</v>
      </c>
      <c r="G38" s="53">
        <f t="shared" si="5"/>
        <v>108</v>
      </c>
      <c r="H38" s="53">
        <f t="shared" si="5"/>
        <v>1622</v>
      </c>
      <c r="I38" s="53">
        <f t="shared" si="5"/>
        <v>85</v>
      </c>
      <c r="J38" s="53">
        <f t="shared" si="5"/>
        <v>0</v>
      </c>
      <c r="K38" s="53">
        <f t="shared" si="5"/>
        <v>87</v>
      </c>
      <c r="L38" s="54">
        <f t="shared" si="5"/>
        <v>0</v>
      </c>
      <c r="M38" s="54">
        <f t="shared" si="5"/>
        <v>0</v>
      </c>
      <c r="N38" s="54">
        <f t="shared" si="5"/>
        <v>0</v>
      </c>
      <c r="O38" s="53">
        <f t="shared" si="5"/>
        <v>104</v>
      </c>
      <c r="P38" s="53">
        <f t="shared" si="5"/>
        <v>0</v>
      </c>
      <c r="Q38" s="53">
        <f t="shared" si="5"/>
        <v>840</v>
      </c>
      <c r="R38" s="53">
        <f t="shared" si="5"/>
        <v>2629</v>
      </c>
      <c r="S38" s="53">
        <f t="shared" si="5"/>
        <v>1845</v>
      </c>
      <c r="T38" s="53">
        <f t="shared" si="5"/>
        <v>2452</v>
      </c>
      <c r="U38" s="53">
        <f t="shared" si="5"/>
        <v>112</v>
      </c>
      <c r="V38" s="53">
        <f t="shared" si="5"/>
        <v>144</v>
      </c>
      <c r="W38" s="53">
        <f t="shared" si="5"/>
        <v>2</v>
      </c>
      <c r="X38" s="54">
        <f t="shared" si="5"/>
        <v>0</v>
      </c>
      <c r="Y38" s="53">
        <f t="shared" si="5"/>
        <v>2</v>
      </c>
      <c r="Z38" s="53">
        <f t="shared" si="5"/>
        <v>2</v>
      </c>
      <c r="AA38" s="53">
        <f t="shared" si="5"/>
        <v>125</v>
      </c>
      <c r="AB38" s="53">
        <f t="shared" si="5"/>
        <v>80378</v>
      </c>
      <c r="AC38" s="53">
        <f t="shared" si="5"/>
        <v>284008</v>
      </c>
    </row>
    <row r="39" spans="1:31" ht="27.75" customHeight="1" x14ac:dyDescent="0.2">
      <c r="A39" s="177" t="s">
        <v>159</v>
      </c>
      <c r="B39" s="178"/>
      <c r="C39" s="32" t="s">
        <v>160</v>
      </c>
      <c r="D39" s="53">
        <v>25</v>
      </c>
      <c r="E39" s="53"/>
      <c r="F39" s="53">
        <v>18</v>
      </c>
      <c r="G39" s="53">
        <v>7</v>
      </c>
      <c r="H39" s="53"/>
      <c r="I39" s="53">
        <v>7</v>
      </c>
      <c r="J39" s="53"/>
      <c r="K39" s="53">
        <v>4</v>
      </c>
      <c r="L39" s="53"/>
      <c r="M39" s="53"/>
      <c r="N39" s="53"/>
      <c r="O39" s="53"/>
      <c r="P39" s="53"/>
      <c r="Q39" s="53">
        <v>14</v>
      </c>
      <c r="R39" s="53">
        <v>25</v>
      </c>
      <c r="S39" s="53">
        <v>7</v>
      </c>
      <c r="T39" s="7">
        <v>18</v>
      </c>
      <c r="U39" s="7">
        <v>3</v>
      </c>
      <c r="V39" s="7">
        <v>4</v>
      </c>
      <c r="W39" s="55"/>
      <c r="X39" s="55"/>
      <c r="Y39" s="7"/>
      <c r="Z39" s="55"/>
      <c r="AA39" s="7">
        <v>2</v>
      </c>
      <c r="AB39" s="7">
        <v>3000</v>
      </c>
      <c r="AC39" s="35">
        <v>6500</v>
      </c>
    </row>
    <row r="40" spans="1:31" ht="24" customHeight="1" x14ac:dyDescent="0.2">
      <c r="A40" s="30"/>
      <c r="B40" s="31" t="s">
        <v>161</v>
      </c>
      <c r="C40" s="32" t="s">
        <v>162</v>
      </c>
      <c r="D40" s="56"/>
      <c r="E40" s="56"/>
      <c r="F40" s="56"/>
      <c r="G40" s="56"/>
      <c r="H40" s="56"/>
      <c r="I40" s="56"/>
      <c r="J40" s="56"/>
      <c r="K40" s="56"/>
      <c r="L40" s="56"/>
      <c r="M40" s="56"/>
      <c r="N40" s="56"/>
      <c r="O40" s="56"/>
      <c r="P40" s="56"/>
      <c r="Q40" s="56"/>
      <c r="R40" s="56"/>
      <c r="S40" s="56"/>
      <c r="T40" s="57"/>
      <c r="U40" s="57"/>
      <c r="V40" s="57"/>
      <c r="W40" s="57"/>
      <c r="X40" s="57"/>
      <c r="Y40" s="57"/>
      <c r="Z40" s="57"/>
      <c r="AA40" s="57"/>
      <c r="AB40" s="55"/>
      <c r="AC40" s="36"/>
    </row>
    <row r="41" spans="1:31" ht="30" customHeight="1" x14ac:dyDescent="0.2">
      <c r="A41" s="225" t="s">
        <v>163</v>
      </c>
      <c r="B41" s="226"/>
      <c r="C41" s="32" t="s">
        <v>164</v>
      </c>
      <c r="D41" s="53">
        <v>6</v>
      </c>
      <c r="E41" s="53"/>
      <c r="F41" s="53">
        <v>6</v>
      </c>
      <c r="G41" s="53"/>
      <c r="H41" s="53">
        <v>6</v>
      </c>
      <c r="I41" s="53"/>
      <c r="J41" s="53"/>
      <c r="K41" s="53"/>
      <c r="L41" s="53"/>
      <c r="M41" s="53"/>
      <c r="N41" s="53"/>
      <c r="O41" s="53"/>
      <c r="P41" s="53"/>
      <c r="Q41" s="53"/>
      <c r="R41" s="53">
        <v>6</v>
      </c>
      <c r="S41" s="53">
        <v>6</v>
      </c>
      <c r="T41" s="7">
        <v>6</v>
      </c>
      <c r="U41" s="55"/>
      <c r="V41" s="55"/>
      <c r="W41" s="55"/>
      <c r="X41" s="55"/>
      <c r="Y41" s="55"/>
      <c r="Z41" s="55"/>
      <c r="AA41" s="55"/>
      <c r="AB41" s="7">
        <v>144</v>
      </c>
      <c r="AC41" s="35">
        <v>580</v>
      </c>
    </row>
    <row r="42" spans="1:31" ht="23.1" customHeight="1" x14ac:dyDescent="0.2">
      <c r="A42" s="215" t="s">
        <v>165</v>
      </c>
      <c r="B42" s="216"/>
      <c r="C42" s="32" t="s">
        <v>166</v>
      </c>
      <c r="D42" s="53"/>
      <c r="E42" s="53"/>
      <c r="F42" s="53"/>
      <c r="G42" s="53"/>
      <c r="H42" s="53"/>
      <c r="I42" s="53"/>
      <c r="J42" s="53"/>
      <c r="K42" s="53"/>
      <c r="L42" s="53"/>
      <c r="M42" s="53"/>
      <c r="N42" s="53"/>
      <c r="O42" s="53"/>
      <c r="P42" s="53"/>
      <c r="Q42" s="53"/>
      <c r="R42" s="53"/>
      <c r="S42" s="53"/>
      <c r="T42" s="55"/>
      <c r="U42" s="57"/>
      <c r="V42" s="57"/>
      <c r="W42" s="57"/>
      <c r="X42" s="57"/>
      <c r="Y42" s="57"/>
      <c r="Z42" s="57"/>
      <c r="AA42" s="57"/>
      <c r="AB42" s="55"/>
      <c r="AC42" s="36"/>
    </row>
    <row r="43" spans="1:31" ht="23.1" customHeight="1" x14ac:dyDescent="0.2">
      <c r="A43" s="218" t="s">
        <v>167</v>
      </c>
      <c r="B43" s="219"/>
      <c r="C43" s="32" t="s">
        <v>168</v>
      </c>
      <c r="D43" s="53">
        <f>D44+D45+D46+D49+D51</f>
        <v>1969</v>
      </c>
      <c r="E43" s="53">
        <f t="shared" ref="E43:AC43" si="6">E44+E45+E46+E49+E51</f>
        <v>85</v>
      </c>
      <c r="F43" s="53">
        <f t="shared" si="6"/>
        <v>1811</v>
      </c>
      <c r="G43" s="53">
        <f t="shared" si="6"/>
        <v>73</v>
      </c>
      <c r="H43" s="53">
        <f t="shared" si="6"/>
        <v>1073</v>
      </c>
      <c r="I43" s="53">
        <f t="shared" si="6"/>
        <v>65</v>
      </c>
      <c r="J43" s="53">
        <f t="shared" si="6"/>
        <v>0</v>
      </c>
      <c r="K43" s="53">
        <f t="shared" si="6"/>
        <v>51</v>
      </c>
      <c r="L43" s="54">
        <f t="shared" si="6"/>
        <v>0</v>
      </c>
      <c r="M43" s="54">
        <f t="shared" si="6"/>
        <v>0</v>
      </c>
      <c r="N43" s="54">
        <f t="shared" si="6"/>
        <v>0</v>
      </c>
      <c r="O43" s="54">
        <f t="shared" si="6"/>
        <v>0</v>
      </c>
      <c r="P43" s="54">
        <f t="shared" si="6"/>
        <v>0</v>
      </c>
      <c r="Q43" s="53">
        <f t="shared" si="6"/>
        <v>780</v>
      </c>
      <c r="R43" s="53">
        <f t="shared" si="6"/>
        <v>1969</v>
      </c>
      <c r="S43" s="53">
        <f t="shared" si="6"/>
        <v>1208</v>
      </c>
      <c r="T43" s="53">
        <f t="shared" si="6"/>
        <v>1780</v>
      </c>
      <c r="U43" s="53">
        <f t="shared" si="6"/>
        <v>83</v>
      </c>
      <c r="V43" s="53">
        <f t="shared" si="6"/>
        <v>74</v>
      </c>
      <c r="W43" s="53">
        <f t="shared" si="6"/>
        <v>2</v>
      </c>
      <c r="X43" s="54">
        <f t="shared" si="6"/>
        <v>0</v>
      </c>
      <c r="Y43" s="54">
        <f t="shared" si="6"/>
        <v>0</v>
      </c>
      <c r="Z43" s="53">
        <f t="shared" si="6"/>
        <v>1</v>
      </c>
      <c r="AA43" s="53">
        <f t="shared" si="6"/>
        <v>30</v>
      </c>
      <c r="AB43" s="53">
        <f t="shared" si="6"/>
        <v>62602</v>
      </c>
      <c r="AC43" s="53">
        <f t="shared" si="6"/>
        <v>215640</v>
      </c>
      <c r="AD43" s="58"/>
      <c r="AE43" s="58"/>
    </row>
    <row r="44" spans="1:31" ht="45.75" customHeight="1" x14ac:dyDescent="0.2">
      <c r="A44" s="30"/>
      <c r="B44" s="31" t="s">
        <v>169</v>
      </c>
      <c r="C44" s="32" t="s">
        <v>170</v>
      </c>
      <c r="D44" s="53">
        <v>385</v>
      </c>
      <c r="E44" s="53">
        <v>23</v>
      </c>
      <c r="F44" s="53">
        <v>342</v>
      </c>
      <c r="G44" s="53">
        <v>20</v>
      </c>
      <c r="H44" s="53">
        <v>265</v>
      </c>
      <c r="I44" s="53">
        <v>20</v>
      </c>
      <c r="J44" s="53"/>
      <c r="K44" s="53">
        <v>11</v>
      </c>
      <c r="L44" s="53"/>
      <c r="M44" s="53"/>
      <c r="N44" s="53"/>
      <c r="O44" s="53"/>
      <c r="P44" s="53"/>
      <c r="Q44" s="53">
        <v>89</v>
      </c>
      <c r="R44" s="53">
        <v>385</v>
      </c>
      <c r="S44" s="53">
        <v>296</v>
      </c>
      <c r="T44" s="7">
        <v>327</v>
      </c>
      <c r="U44" s="7">
        <v>1</v>
      </c>
      <c r="V44" s="7">
        <v>28</v>
      </c>
      <c r="W44" s="55"/>
      <c r="X44" s="55"/>
      <c r="Y44" s="55"/>
      <c r="Z44" s="55"/>
      <c r="AA44" s="55"/>
      <c r="AB44" s="7">
        <v>4620</v>
      </c>
      <c r="AC44" s="35">
        <v>15860</v>
      </c>
    </row>
    <row r="45" spans="1:31" ht="24.6" customHeight="1" x14ac:dyDescent="0.2">
      <c r="A45" s="51"/>
      <c r="B45" s="38" t="s">
        <v>171</v>
      </c>
      <c r="C45" s="32" t="s">
        <v>172</v>
      </c>
      <c r="D45" s="53">
        <v>18</v>
      </c>
      <c r="E45" s="53"/>
      <c r="F45" s="53">
        <v>16</v>
      </c>
      <c r="G45" s="53">
        <v>2</v>
      </c>
      <c r="H45" s="53">
        <v>4</v>
      </c>
      <c r="I45" s="53">
        <v>3</v>
      </c>
      <c r="J45" s="53"/>
      <c r="K45" s="53"/>
      <c r="L45" s="53"/>
      <c r="M45" s="53"/>
      <c r="N45" s="53"/>
      <c r="O45" s="53"/>
      <c r="P45" s="53"/>
      <c r="Q45" s="53">
        <v>11</v>
      </c>
      <c r="R45" s="53">
        <v>18</v>
      </c>
      <c r="S45" s="53">
        <v>5</v>
      </c>
      <c r="T45" s="7">
        <v>11</v>
      </c>
      <c r="U45" s="7">
        <v>2</v>
      </c>
      <c r="V45" s="7">
        <v>2</v>
      </c>
      <c r="W45" s="55"/>
      <c r="X45" s="55"/>
      <c r="Y45" s="55"/>
      <c r="Z45" s="55"/>
      <c r="AA45" s="55"/>
      <c r="AB45" s="7">
        <v>216</v>
      </c>
      <c r="AC45" s="35">
        <v>650</v>
      </c>
    </row>
    <row r="46" spans="1:31" ht="19.5" customHeight="1" x14ac:dyDescent="0.2">
      <c r="A46" s="51" t="s">
        <v>173</v>
      </c>
      <c r="B46" s="38" t="s">
        <v>174</v>
      </c>
      <c r="C46" s="32" t="s">
        <v>175</v>
      </c>
      <c r="D46" s="53">
        <v>734</v>
      </c>
      <c r="E46" s="53">
        <v>23</v>
      </c>
      <c r="F46" s="53">
        <v>695</v>
      </c>
      <c r="G46" s="53">
        <v>16</v>
      </c>
      <c r="H46" s="53">
        <v>264</v>
      </c>
      <c r="I46" s="53">
        <v>16</v>
      </c>
      <c r="J46" s="53"/>
      <c r="K46" s="53">
        <v>20</v>
      </c>
      <c r="L46" s="53"/>
      <c r="M46" s="53"/>
      <c r="N46" s="53"/>
      <c r="O46" s="53"/>
      <c r="P46" s="53"/>
      <c r="Q46" s="53">
        <v>434</v>
      </c>
      <c r="R46" s="53">
        <v>734</v>
      </c>
      <c r="S46" s="53">
        <v>325</v>
      </c>
      <c r="T46" s="7">
        <v>660</v>
      </c>
      <c r="U46" s="7">
        <v>61</v>
      </c>
      <c r="V46" s="7">
        <v>13</v>
      </c>
      <c r="W46" s="7">
        <v>2</v>
      </c>
      <c r="X46" s="7"/>
      <c r="Y46" s="7"/>
      <c r="Z46" s="7"/>
      <c r="AA46" s="7">
        <v>28</v>
      </c>
      <c r="AB46" s="7">
        <v>44854</v>
      </c>
      <c r="AC46" s="35">
        <v>162660</v>
      </c>
    </row>
    <row r="47" spans="1:31" ht="24" customHeight="1" x14ac:dyDescent="0.2">
      <c r="A47" s="51"/>
      <c r="B47" s="40" t="s">
        <v>114</v>
      </c>
      <c r="C47" s="32" t="s">
        <v>176</v>
      </c>
      <c r="D47" s="53">
        <v>678</v>
      </c>
      <c r="E47" s="53">
        <v>23</v>
      </c>
      <c r="F47" s="53">
        <v>639</v>
      </c>
      <c r="G47" s="53">
        <v>16</v>
      </c>
      <c r="H47" s="53">
        <v>249</v>
      </c>
      <c r="I47" s="53">
        <v>16</v>
      </c>
      <c r="J47" s="53"/>
      <c r="K47" s="53">
        <v>18</v>
      </c>
      <c r="L47" s="53"/>
      <c r="M47" s="53"/>
      <c r="N47" s="53"/>
      <c r="O47" s="53"/>
      <c r="P47" s="53"/>
      <c r="Q47" s="53">
        <v>395</v>
      </c>
      <c r="R47" s="53">
        <v>678</v>
      </c>
      <c r="S47" s="53">
        <v>297</v>
      </c>
      <c r="T47" s="7">
        <v>649</v>
      </c>
      <c r="U47" s="7">
        <v>20</v>
      </c>
      <c r="V47" s="7">
        <v>9</v>
      </c>
      <c r="W47" s="55"/>
      <c r="X47" s="55"/>
      <c r="Y47" s="55"/>
      <c r="Z47" s="55"/>
      <c r="AA47" s="7">
        <v>12</v>
      </c>
      <c r="AB47" s="7">
        <v>43520</v>
      </c>
      <c r="AC47" s="35">
        <v>158300</v>
      </c>
    </row>
    <row r="48" spans="1:31" ht="18" customHeight="1" x14ac:dyDescent="0.2">
      <c r="A48" s="51"/>
      <c r="B48" s="40" t="s">
        <v>117</v>
      </c>
      <c r="C48" s="32" t="s">
        <v>177</v>
      </c>
      <c r="D48" s="53">
        <v>56</v>
      </c>
      <c r="E48" s="53"/>
      <c r="F48" s="53">
        <v>56</v>
      </c>
      <c r="G48" s="53"/>
      <c r="H48" s="53">
        <v>15</v>
      </c>
      <c r="I48" s="53"/>
      <c r="J48" s="53"/>
      <c r="K48" s="53">
        <v>2</v>
      </c>
      <c r="L48" s="53"/>
      <c r="M48" s="53"/>
      <c r="N48" s="53"/>
      <c r="O48" s="53"/>
      <c r="P48" s="53"/>
      <c r="Q48" s="53">
        <v>39</v>
      </c>
      <c r="R48" s="53">
        <v>56</v>
      </c>
      <c r="S48" s="53">
        <v>28</v>
      </c>
      <c r="T48" s="7">
        <v>11</v>
      </c>
      <c r="U48" s="7">
        <v>41</v>
      </c>
      <c r="V48" s="7">
        <v>4</v>
      </c>
      <c r="W48" s="7">
        <v>2</v>
      </c>
      <c r="X48" s="55"/>
      <c r="Y48" s="55"/>
      <c r="Z48" s="55"/>
      <c r="AA48" s="7">
        <v>16</v>
      </c>
      <c r="AB48" s="7">
        <v>1344</v>
      </c>
      <c r="AC48" s="35">
        <v>4360</v>
      </c>
    </row>
    <row r="49" spans="1:29" ht="21.75" customHeight="1" x14ac:dyDescent="0.2">
      <c r="A49" s="51"/>
      <c r="B49" s="38" t="s">
        <v>178</v>
      </c>
      <c r="C49" s="32" t="s">
        <v>179</v>
      </c>
      <c r="D49" s="53">
        <v>23</v>
      </c>
      <c r="E49" s="53"/>
      <c r="F49" s="53">
        <v>23</v>
      </c>
      <c r="G49" s="53"/>
      <c r="H49" s="53">
        <v>17</v>
      </c>
      <c r="I49" s="53"/>
      <c r="J49" s="53"/>
      <c r="K49" s="53"/>
      <c r="L49" s="53"/>
      <c r="M49" s="53"/>
      <c r="N49" s="53"/>
      <c r="O49" s="53"/>
      <c r="P49" s="53"/>
      <c r="Q49" s="53">
        <v>6</v>
      </c>
      <c r="R49" s="53">
        <v>23</v>
      </c>
      <c r="S49" s="53">
        <v>18</v>
      </c>
      <c r="T49" s="7">
        <v>11</v>
      </c>
      <c r="U49" s="7">
        <v>3</v>
      </c>
      <c r="V49" s="7">
        <v>9</v>
      </c>
      <c r="W49" s="55"/>
      <c r="X49" s="55"/>
      <c r="Y49" s="55"/>
      <c r="Z49" s="55"/>
      <c r="AA49" s="55"/>
      <c r="AB49" s="7">
        <v>552</v>
      </c>
      <c r="AC49" s="35">
        <v>1980</v>
      </c>
    </row>
    <row r="50" spans="1:29" ht="26.25" customHeight="1" x14ac:dyDescent="0.2">
      <c r="A50" s="51"/>
      <c r="B50" s="59" t="s">
        <v>180</v>
      </c>
      <c r="C50" s="44" t="s">
        <v>181</v>
      </c>
      <c r="D50" s="53">
        <v>23</v>
      </c>
      <c r="E50" s="53"/>
      <c r="F50" s="53">
        <v>23</v>
      </c>
      <c r="G50" s="53"/>
      <c r="H50" s="53">
        <v>17</v>
      </c>
      <c r="I50" s="53"/>
      <c r="J50" s="53"/>
      <c r="K50" s="53"/>
      <c r="L50" s="53"/>
      <c r="M50" s="53"/>
      <c r="N50" s="53"/>
      <c r="O50" s="53"/>
      <c r="P50" s="53"/>
      <c r="Q50" s="53">
        <v>6</v>
      </c>
      <c r="R50" s="53">
        <v>23</v>
      </c>
      <c r="S50" s="53">
        <v>18</v>
      </c>
      <c r="T50" s="7">
        <v>11</v>
      </c>
      <c r="U50" s="7">
        <v>3</v>
      </c>
      <c r="V50" s="7">
        <v>9</v>
      </c>
      <c r="W50" s="55"/>
      <c r="X50" s="55"/>
      <c r="Y50" s="55"/>
      <c r="Z50" s="55"/>
      <c r="AA50" s="55"/>
      <c r="AB50" s="7">
        <v>552</v>
      </c>
      <c r="AC50" s="35">
        <v>1980</v>
      </c>
    </row>
    <row r="51" spans="1:29" ht="18.75" customHeight="1" x14ac:dyDescent="0.2">
      <c r="A51" s="60"/>
      <c r="B51" s="38" t="s">
        <v>182</v>
      </c>
      <c r="C51" s="32" t="s">
        <v>183</v>
      </c>
      <c r="D51" s="53">
        <v>809</v>
      </c>
      <c r="E51" s="53">
        <v>39</v>
      </c>
      <c r="F51" s="53">
        <v>735</v>
      </c>
      <c r="G51" s="53">
        <v>35</v>
      </c>
      <c r="H51" s="53">
        <v>523</v>
      </c>
      <c r="I51" s="53">
        <v>26</v>
      </c>
      <c r="J51" s="53"/>
      <c r="K51" s="53">
        <v>20</v>
      </c>
      <c r="L51" s="53"/>
      <c r="M51" s="53"/>
      <c r="N51" s="53"/>
      <c r="O51" s="53"/>
      <c r="P51" s="53"/>
      <c r="Q51" s="53">
        <v>240</v>
      </c>
      <c r="R51" s="53">
        <v>809</v>
      </c>
      <c r="S51" s="53">
        <v>564</v>
      </c>
      <c r="T51" s="7">
        <v>771</v>
      </c>
      <c r="U51" s="7">
        <v>16</v>
      </c>
      <c r="V51" s="7">
        <v>22</v>
      </c>
      <c r="W51" s="61"/>
      <c r="X51" s="55"/>
      <c r="Y51" s="55"/>
      <c r="Z51" s="7">
        <v>1</v>
      </c>
      <c r="AA51" s="7">
        <v>2</v>
      </c>
      <c r="AB51" s="7">
        <v>12360</v>
      </c>
      <c r="AC51" s="35">
        <v>34490</v>
      </c>
    </row>
    <row r="52" spans="1:29" ht="24.6" customHeight="1" x14ac:dyDescent="0.2">
      <c r="A52" s="60"/>
      <c r="B52" s="38" t="s">
        <v>127</v>
      </c>
      <c r="C52" s="32" t="s">
        <v>184</v>
      </c>
      <c r="D52" s="53">
        <v>18</v>
      </c>
      <c r="E52" s="53">
        <v>2</v>
      </c>
      <c r="F52" s="53">
        <v>16</v>
      </c>
      <c r="G52" s="53"/>
      <c r="H52" s="53">
        <v>8</v>
      </c>
      <c r="I52" s="53"/>
      <c r="J52" s="53"/>
      <c r="K52" s="53">
        <v>4</v>
      </c>
      <c r="L52" s="53"/>
      <c r="M52" s="53"/>
      <c r="N52" s="53"/>
      <c r="O52" s="53"/>
      <c r="P52" s="53"/>
      <c r="Q52" s="53">
        <v>6</v>
      </c>
      <c r="R52" s="53">
        <v>18</v>
      </c>
      <c r="S52" s="53">
        <v>12</v>
      </c>
      <c r="T52" s="7">
        <v>13</v>
      </c>
      <c r="U52" s="7">
        <v>2</v>
      </c>
      <c r="V52" s="7">
        <v>3</v>
      </c>
      <c r="W52" s="55"/>
      <c r="X52" s="55"/>
      <c r="Y52" s="55"/>
      <c r="Z52" s="7">
        <v>1</v>
      </c>
      <c r="AA52" s="7">
        <v>2</v>
      </c>
      <c r="AB52" s="7">
        <v>370</v>
      </c>
      <c r="AC52" s="35">
        <v>960</v>
      </c>
    </row>
    <row r="53" spans="1:29" ht="18.75" customHeight="1" x14ac:dyDescent="0.2">
      <c r="A53" s="217" t="s">
        <v>185</v>
      </c>
      <c r="B53" s="217"/>
      <c r="C53" s="32" t="s">
        <v>186</v>
      </c>
      <c r="D53" s="53">
        <v>392</v>
      </c>
      <c r="E53" s="53">
        <v>15</v>
      </c>
      <c r="F53" s="53">
        <v>371</v>
      </c>
      <c r="G53" s="53">
        <v>6</v>
      </c>
      <c r="H53" s="53">
        <v>331</v>
      </c>
      <c r="I53" s="53">
        <v>4</v>
      </c>
      <c r="J53" s="53"/>
      <c r="K53" s="53">
        <v>17</v>
      </c>
      <c r="L53" s="53"/>
      <c r="M53" s="53"/>
      <c r="N53" s="53"/>
      <c r="O53" s="53"/>
      <c r="P53" s="53"/>
      <c r="Q53" s="53">
        <v>40</v>
      </c>
      <c r="R53" s="53">
        <v>383</v>
      </c>
      <c r="S53" s="53">
        <v>376</v>
      </c>
      <c r="T53" s="7">
        <v>370</v>
      </c>
      <c r="U53" s="7">
        <v>11</v>
      </c>
      <c r="V53" s="7">
        <v>11</v>
      </c>
      <c r="W53" s="55"/>
      <c r="X53" s="55"/>
      <c r="Y53" s="7">
        <v>2</v>
      </c>
      <c r="Z53" s="7">
        <v>1</v>
      </c>
      <c r="AA53" s="7">
        <v>70</v>
      </c>
      <c r="AB53" s="7">
        <v>9410</v>
      </c>
      <c r="AC53" s="35">
        <v>26800</v>
      </c>
    </row>
    <row r="54" spans="1:29" ht="18.75" customHeight="1" x14ac:dyDescent="0.2">
      <c r="A54" s="30"/>
      <c r="B54" s="38" t="s">
        <v>187</v>
      </c>
      <c r="C54" s="32" t="s">
        <v>188</v>
      </c>
      <c r="D54" s="53">
        <v>27</v>
      </c>
      <c r="E54" s="53"/>
      <c r="F54" s="53">
        <v>26</v>
      </c>
      <c r="G54" s="53">
        <v>1</v>
      </c>
      <c r="H54" s="53">
        <v>21</v>
      </c>
      <c r="I54" s="53">
        <v>1</v>
      </c>
      <c r="J54" s="53"/>
      <c r="K54" s="53">
        <v>2</v>
      </c>
      <c r="L54" s="53"/>
      <c r="M54" s="53"/>
      <c r="N54" s="53"/>
      <c r="O54" s="53"/>
      <c r="P54" s="53"/>
      <c r="Q54" s="53">
        <v>3</v>
      </c>
      <c r="R54" s="53">
        <v>27</v>
      </c>
      <c r="S54" s="53">
        <v>23</v>
      </c>
      <c r="T54" s="7">
        <v>25</v>
      </c>
      <c r="U54" s="7">
        <v>2</v>
      </c>
      <c r="V54" s="61"/>
      <c r="W54" s="55"/>
      <c r="X54" s="55"/>
      <c r="Y54" s="55"/>
      <c r="Z54" s="55"/>
      <c r="AA54" s="7">
        <v>10</v>
      </c>
      <c r="AB54" s="7">
        <v>405</v>
      </c>
      <c r="AC54" s="35">
        <v>1500</v>
      </c>
    </row>
    <row r="55" spans="1:29" ht="18.75" customHeight="1" x14ac:dyDescent="0.2">
      <c r="A55" s="217" t="s">
        <v>189</v>
      </c>
      <c r="B55" s="217"/>
      <c r="C55" s="32" t="s">
        <v>190</v>
      </c>
      <c r="D55" s="53">
        <f>D56+D57+D58</f>
        <v>11</v>
      </c>
      <c r="E55" s="53">
        <f t="shared" ref="E55:AB55" si="7">E56+E57+E58</f>
        <v>2</v>
      </c>
      <c r="F55" s="53">
        <f t="shared" si="7"/>
        <v>7</v>
      </c>
      <c r="G55" s="53">
        <f t="shared" si="7"/>
        <v>2</v>
      </c>
      <c r="H55" s="53">
        <f t="shared" si="7"/>
        <v>7</v>
      </c>
      <c r="I55" s="54">
        <f t="shared" si="7"/>
        <v>0</v>
      </c>
      <c r="J55" s="54">
        <f t="shared" si="7"/>
        <v>0</v>
      </c>
      <c r="K55" s="54">
        <f t="shared" si="7"/>
        <v>0</v>
      </c>
      <c r="L55" s="54">
        <f t="shared" si="7"/>
        <v>0</v>
      </c>
      <c r="M55" s="54">
        <f t="shared" si="7"/>
        <v>0</v>
      </c>
      <c r="N55" s="54">
        <f t="shared" si="7"/>
        <v>0</v>
      </c>
      <c r="O55" s="54">
        <f t="shared" si="7"/>
        <v>0</v>
      </c>
      <c r="P55" s="54">
        <f t="shared" si="7"/>
        <v>0</v>
      </c>
      <c r="Q55" s="53">
        <f t="shared" si="7"/>
        <v>4</v>
      </c>
      <c r="R55" s="53">
        <f t="shared" si="7"/>
        <v>11</v>
      </c>
      <c r="S55" s="53">
        <f t="shared" si="7"/>
        <v>11</v>
      </c>
      <c r="T55" s="53">
        <f t="shared" si="7"/>
        <v>2</v>
      </c>
      <c r="U55" s="54">
        <f t="shared" si="7"/>
        <v>0</v>
      </c>
      <c r="V55" s="53">
        <f t="shared" si="7"/>
        <v>11</v>
      </c>
      <c r="W55" s="54">
        <f t="shared" si="7"/>
        <v>0</v>
      </c>
      <c r="X55" s="54">
        <f t="shared" si="7"/>
        <v>0</v>
      </c>
      <c r="Y55" s="54">
        <f t="shared" si="7"/>
        <v>0</v>
      </c>
      <c r="Z55" s="54">
        <f t="shared" si="7"/>
        <v>0</v>
      </c>
      <c r="AA55" s="54">
        <f t="shared" si="7"/>
        <v>0</v>
      </c>
      <c r="AB55" s="53">
        <f t="shared" si="7"/>
        <v>192</v>
      </c>
      <c r="AC55" s="53"/>
    </row>
    <row r="56" spans="1:29" ht="26.25" customHeight="1" x14ac:dyDescent="0.2">
      <c r="A56" s="30"/>
      <c r="B56" s="38" t="s">
        <v>191</v>
      </c>
      <c r="C56" s="44" t="s">
        <v>192</v>
      </c>
      <c r="D56" s="53"/>
      <c r="E56" s="53"/>
      <c r="F56" s="53"/>
      <c r="G56" s="53"/>
      <c r="H56" s="53"/>
      <c r="I56" s="53"/>
      <c r="J56" s="53"/>
      <c r="K56" s="53"/>
      <c r="L56" s="53"/>
      <c r="M56" s="53"/>
      <c r="N56" s="53"/>
      <c r="O56" s="53"/>
      <c r="P56" s="53"/>
      <c r="Q56" s="53"/>
      <c r="R56" s="53"/>
      <c r="S56" s="53"/>
      <c r="T56" s="55"/>
      <c r="U56" s="55"/>
      <c r="V56" s="55"/>
      <c r="W56" s="55"/>
      <c r="X56" s="55"/>
      <c r="Y56" s="55"/>
      <c r="Z56" s="55"/>
      <c r="AA56" s="55"/>
      <c r="AB56" s="55"/>
      <c r="AC56" s="36"/>
    </row>
    <row r="57" spans="1:29" ht="18.75" customHeight="1" x14ac:dyDescent="0.2">
      <c r="A57" s="51"/>
      <c r="B57" s="38" t="s">
        <v>193</v>
      </c>
      <c r="C57" s="44" t="s">
        <v>194</v>
      </c>
      <c r="D57" s="53">
        <v>5</v>
      </c>
      <c r="E57" s="53">
        <v>1</v>
      </c>
      <c r="F57" s="53">
        <v>2</v>
      </c>
      <c r="G57" s="53">
        <v>2</v>
      </c>
      <c r="H57" s="53">
        <v>1</v>
      </c>
      <c r="I57" s="53"/>
      <c r="J57" s="53"/>
      <c r="K57" s="53"/>
      <c r="L57" s="53"/>
      <c r="M57" s="53"/>
      <c r="N57" s="53"/>
      <c r="O57" s="53"/>
      <c r="P57" s="53"/>
      <c r="Q57" s="53">
        <v>4</v>
      </c>
      <c r="R57" s="53">
        <v>5</v>
      </c>
      <c r="S57" s="53">
        <v>5</v>
      </c>
      <c r="T57" s="7">
        <v>1</v>
      </c>
      <c r="U57" s="55"/>
      <c r="V57" s="7">
        <v>5</v>
      </c>
      <c r="W57" s="55"/>
      <c r="X57" s="55"/>
      <c r="Y57" s="55"/>
      <c r="Z57" s="55"/>
      <c r="AA57" s="55"/>
      <c r="AB57" s="7">
        <v>120</v>
      </c>
      <c r="AC57" s="35"/>
    </row>
    <row r="58" spans="1:29" ht="16.5" customHeight="1" x14ac:dyDescent="0.2">
      <c r="A58" s="51"/>
      <c r="B58" s="38" t="s">
        <v>195</v>
      </c>
      <c r="C58" s="44" t="s">
        <v>196</v>
      </c>
      <c r="D58" s="53">
        <v>6</v>
      </c>
      <c r="E58" s="53">
        <v>1</v>
      </c>
      <c r="F58" s="53">
        <v>5</v>
      </c>
      <c r="G58" s="53"/>
      <c r="H58" s="53">
        <v>6</v>
      </c>
      <c r="I58" s="53"/>
      <c r="J58" s="53"/>
      <c r="K58" s="53"/>
      <c r="L58" s="53"/>
      <c r="M58" s="53"/>
      <c r="N58" s="53"/>
      <c r="O58" s="53"/>
      <c r="P58" s="53"/>
      <c r="Q58" s="53"/>
      <c r="R58" s="53">
        <v>6</v>
      </c>
      <c r="S58" s="53">
        <v>6</v>
      </c>
      <c r="T58" s="62">
        <v>1</v>
      </c>
      <c r="U58" s="55"/>
      <c r="V58" s="7">
        <v>6</v>
      </c>
      <c r="W58" s="55"/>
      <c r="X58" s="55"/>
      <c r="Y58" s="55"/>
      <c r="Z58" s="55"/>
      <c r="AA58" s="55"/>
      <c r="AB58" s="7">
        <v>72</v>
      </c>
      <c r="AC58" s="35"/>
    </row>
    <row r="59" spans="1:29" ht="28.5" customHeight="1" x14ac:dyDescent="0.2">
      <c r="A59" s="215" t="s">
        <v>141</v>
      </c>
      <c r="B59" s="216"/>
      <c r="C59" s="32" t="s">
        <v>197</v>
      </c>
      <c r="D59" s="53">
        <v>48</v>
      </c>
      <c r="E59" s="53">
        <v>23</v>
      </c>
      <c r="F59" s="53">
        <v>24</v>
      </c>
      <c r="G59" s="53">
        <v>1</v>
      </c>
      <c r="H59" s="53">
        <v>34</v>
      </c>
      <c r="I59" s="53"/>
      <c r="J59" s="53"/>
      <c r="K59" s="53">
        <v>1</v>
      </c>
      <c r="L59" s="53"/>
      <c r="M59" s="53"/>
      <c r="N59" s="53"/>
      <c r="O59" s="53">
        <v>13</v>
      </c>
      <c r="P59" s="53"/>
      <c r="Q59" s="53"/>
      <c r="R59" s="53">
        <v>2</v>
      </c>
      <c r="S59" s="53">
        <v>47</v>
      </c>
      <c r="T59" s="7">
        <v>11</v>
      </c>
      <c r="U59" s="55"/>
      <c r="V59" s="7">
        <v>37</v>
      </c>
      <c r="W59" s="55"/>
      <c r="X59" s="55"/>
      <c r="Y59" s="55"/>
      <c r="Z59" s="55"/>
      <c r="AA59" s="7">
        <v>1</v>
      </c>
      <c r="AB59" s="7">
        <v>388</v>
      </c>
      <c r="AC59" s="35">
        <v>420</v>
      </c>
    </row>
    <row r="60" spans="1:29" ht="18.75" customHeight="1" x14ac:dyDescent="0.2">
      <c r="A60" s="215" t="s">
        <v>143</v>
      </c>
      <c r="B60" s="216"/>
      <c r="C60" s="32" t="s">
        <v>198</v>
      </c>
      <c r="D60" s="53"/>
      <c r="E60" s="53"/>
      <c r="F60" s="53"/>
      <c r="G60" s="53"/>
      <c r="H60" s="53"/>
      <c r="I60" s="53"/>
      <c r="J60" s="53"/>
      <c r="K60" s="53"/>
      <c r="L60" s="53"/>
      <c r="M60" s="53"/>
      <c r="N60" s="53"/>
      <c r="O60" s="53"/>
      <c r="P60" s="53"/>
      <c r="Q60" s="53"/>
      <c r="R60" s="53"/>
      <c r="S60" s="53"/>
      <c r="T60" s="55"/>
      <c r="U60" s="55"/>
      <c r="V60" s="55"/>
      <c r="W60" s="55"/>
      <c r="X60" s="55"/>
      <c r="Y60" s="55"/>
      <c r="Z60" s="55"/>
      <c r="AA60" s="55"/>
      <c r="AB60" s="55"/>
      <c r="AC60" s="36"/>
    </row>
    <row r="61" spans="1:29" ht="18.75" customHeight="1" x14ac:dyDescent="0.2">
      <c r="A61" s="217" t="s">
        <v>145</v>
      </c>
      <c r="B61" s="217"/>
      <c r="C61" s="32" t="s">
        <v>199</v>
      </c>
      <c r="D61" s="53">
        <v>1</v>
      </c>
      <c r="E61" s="53"/>
      <c r="F61" s="53">
        <v>1</v>
      </c>
      <c r="G61" s="53"/>
      <c r="H61" s="53"/>
      <c r="I61" s="53"/>
      <c r="J61" s="53"/>
      <c r="K61" s="53">
        <v>1</v>
      </c>
      <c r="L61" s="53"/>
      <c r="M61" s="53"/>
      <c r="N61" s="53"/>
      <c r="O61" s="53"/>
      <c r="P61" s="53"/>
      <c r="Q61" s="53"/>
      <c r="R61" s="53">
        <v>1</v>
      </c>
      <c r="S61" s="53"/>
      <c r="T61" s="7">
        <v>1</v>
      </c>
      <c r="U61" s="7"/>
      <c r="V61" s="7"/>
      <c r="W61" s="7"/>
      <c r="X61" s="7"/>
      <c r="Y61" s="7"/>
      <c r="Z61" s="7"/>
      <c r="AA61" s="7"/>
      <c r="AB61" s="7">
        <v>22</v>
      </c>
      <c r="AC61" s="7">
        <v>328</v>
      </c>
    </row>
    <row r="62" spans="1:29" ht="18.75" customHeight="1" x14ac:dyDescent="0.2">
      <c r="A62" s="218" t="s">
        <v>147</v>
      </c>
      <c r="B62" s="219"/>
      <c r="C62" s="32" t="s">
        <v>200</v>
      </c>
      <c r="D62" s="63"/>
      <c r="E62" s="63"/>
      <c r="F62" s="63"/>
      <c r="G62" s="63"/>
      <c r="H62" s="63"/>
      <c r="I62" s="63"/>
      <c r="J62" s="63"/>
      <c r="K62" s="63"/>
      <c r="L62" s="63"/>
      <c r="M62" s="63"/>
      <c r="N62" s="63"/>
      <c r="O62" s="63"/>
      <c r="P62" s="63"/>
      <c r="Q62" s="53"/>
      <c r="R62" s="53"/>
      <c r="S62" s="53"/>
      <c r="T62" s="7"/>
      <c r="U62" s="7"/>
      <c r="V62" s="7"/>
      <c r="W62" s="7"/>
      <c r="X62" s="7"/>
      <c r="Y62" s="7"/>
      <c r="Z62" s="7"/>
      <c r="AA62" s="7"/>
      <c r="AB62" s="7"/>
      <c r="AC62" s="7"/>
    </row>
    <row r="63" spans="1:29" ht="18.75" customHeight="1" x14ac:dyDescent="0.2">
      <c r="A63" s="217" t="s">
        <v>149</v>
      </c>
      <c r="B63" s="217"/>
      <c r="C63" s="32" t="s">
        <v>201</v>
      </c>
      <c r="D63" s="53"/>
      <c r="E63" s="53"/>
      <c r="F63" s="53"/>
      <c r="G63" s="53"/>
      <c r="H63" s="53"/>
      <c r="I63" s="53"/>
      <c r="J63" s="53"/>
      <c r="K63" s="53"/>
      <c r="L63" s="53"/>
      <c r="M63" s="53"/>
      <c r="N63" s="53"/>
      <c r="O63" s="53"/>
      <c r="P63" s="53"/>
      <c r="Q63" s="53"/>
      <c r="R63" s="53"/>
      <c r="S63" s="53"/>
      <c r="T63" s="7"/>
      <c r="U63" s="7"/>
      <c r="V63" s="7"/>
      <c r="W63" s="7"/>
      <c r="X63" s="7"/>
      <c r="Y63" s="7"/>
      <c r="Z63" s="7"/>
      <c r="AA63" s="7"/>
      <c r="AB63" s="7"/>
      <c r="AC63" s="7"/>
    </row>
    <row r="64" spans="1:29" ht="18.75" customHeight="1" x14ac:dyDescent="0.2">
      <c r="A64" s="217" t="s">
        <v>202</v>
      </c>
      <c r="B64" s="217"/>
      <c r="C64" s="32" t="s">
        <v>203</v>
      </c>
      <c r="D64" s="53">
        <v>2</v>
      </c>
      <c r="E64" s="53"/>
      <c r="F64" s="53"/>
      <c r="G64" s="53">
        <v>2</v>
      </c>
      <c r="H64" s="53"/>
      <c r="I64" s="53"/>
      <c r="J64" s="53"/>
      <c r="K64" s="53"/>
      <c r="L64" s="53"/>
      <c r="M64" s="53"/>
      <c r="N64" s="53"/>
      <c r="O64" s="53"/>
      <c r="P64" s="53"/>
      <c r="Q64" s="53">
        <v>2</v>
      </c>
      <c r="R64" s="53">
        <v>2</v>
      </c>
      <c r="S64" s="53">
        <v>1</v>
      </c>
      <c r="T64" s="7">
        <v>1</v>
      </c>
      <c r="U64" s="7"/>
      <c r="V64" s="7">
        <v>1</v>
      </c>
      <c r="W64" s="7"/>
      <c r="X64" s="7"/>
      <c r="Y64" s="7"/>
      <c r="Z64" s="7"/>
      <c r="AA64" s="7"/>
      <c r="AB64" s="7">
        <v>60</v>
      </c>
      <c r="AC64" s="7">
        <v>180</v>
      </c>
    </row>
    <row r="65" spans="1:29" ht="18.75" customHeight="1" x14ac:dyDescent="0.2">
      <c r="A65" s="224" t="s">
        <v>151</v>
      </c>
      <c r="B65" s="224"/>
      <c r="C65" s="32" t="s">
        <v>204</v>
      </c>
      <c r="D65" s="53"/>
      <c r="E65" s="53"/>
      <c r="F65" s="53"/>
      <c r="G65" s="53"/>
      <c r="H65" s="53"/>
      <c r="I65" s="53"/>
      <c r="J65" s="53"/>
      <c r="K65" s="53"/>
      <c r="L65" s="53"/>
      <c r="M65" s="53"/>
      <c r="N65" s="53"/>
      <c r="O65" s="53"/>
      <c r="P65" s="53"/>
      <c r="Q65" s="53"/>
      <c r="R65" s="53"/>
      <c r="S65" s="53"/>
      <c r="T65" s="7"/>
      <c r="U65" s="7"/>
      <c r="V65" s="7"/>
      <c r="W65" s="7"/>
      <c r="X65" s="7"/>
      <c r="Y65" s="7"/>
      <c r="Z65" s="7"/>
      <c r="AA65" s="7"/>
      <c r="AB65" s="7"/>
      <c r="AC65" s="7"/>
    </row>
    <row r="66" spans="1:29" ht="27.75" customHeight="1" x14ac:dyDescent="0.2">
      <c r="A66" s="227" t="s">
        <v>205</v>
      </c>
      <c r="B66" s="227"/>
      <c r="C66" s="32" t="s">
        <v>206</v>
      </c>
      <c r="D66" s="53">
        <v>5</v>
      </c>
      <c r="E66" s="53"/>
      <c r="F66" s="53">
        <v>2</v>
      </c>
      <c r="G66" s="53">
        <v>3</v>
      </c>
      <c r="H66" s="53"/>
      <c r="I66" s="53">
        <v>3</v>
      </c>
      <c r="J66" s="53"/>
      <c r="K66" s="53">
        <v>2</v>
      </c>
      <c r="L66" s="53"/>
      <c r="M66" s="53"/>
      <c r="N66" s="53"/>
      <c r="O66" s="53"/>
      <c r="P66" s="53"/>
      <c r="Q66" s="53"/>
      <c r="R66" s="53">
        <v>4</v>
      </c>
      <c r="S66" s="53">
        <v>2</v>
      </c>
      <c r="T66" s="7">
        <v>3</v>
      </c>
      <c r="U66" s="7">
        <v>1</v>
      </c>
      <c r="V66" s="7">
        <v>1</v>
      </c>
      <c r="W66" s="7"/>
      <c r="X66" s="7"/>
      <c r="Y66" s="7"/>
      <c r="Z66" s="7"/>
      <c r="AA66" s="7"/>
      <c r="AB66" s="7">
        <v>240</v>
      </c>
      <c r="AC66" s="64">
        <v>1920</v>
      </c>
    </row>
    <row r="67" spans="1:29" ht="18.75" customHeight="1" x14ac:dyDescent="0.2">
      <c r="A67" s="215" t="s">
        <v>207</v>
      </c>
      <c r="B67" s="216"/>
      <c r="C67" s="32" t="s">
        <v>208</v>
      </c>
      <c r="D67" s="53"/>
      <c r="E67" s="53"/>
      <c r="F67" s="53"/>
      <c r="G67" s="53"/>
      <c r="H67" s="53"/>
      <c r="I67" s="53"/>
      <c r="J67" s="53"/>
      <c r="K67" s="53"/>
      <c r="L67" s="53"/>
      <c r="M67" s="53"/>
      <c r="N67" s="53"/>
      <c r="O67" s="53"/>
      <c r="P67" s="53"/>
      <c r="Q67" s="53"/>
      <c r="R67" s="53"/>
      <c r="S67" s="53"/>
      <c r="T67" s="7"/>
      <c r="U67" s="7"/>
      <c r="V67" s="7"/>
      <c r="W67" s="7"/>
      <c r="X67" s="7"/>
      <c r="Y67" s="7"/>
      <c r="Z67" s="7"/>
      <c r="AA67" s="7"/>
      <c r="AB67" s="7"/>
      <c r="AC67" s="7"/>
    </row>
    <row r="68" spans="1:29" ht="18.75" customHeight="1" x14ac:dyDescent="0.2">
      <c r="A68" s="215" t="s">
        <v>209</v>
      </c>
      <c r="B68" s="216"/>
      <c r="C68" s="32" t="s">
        <v>210</v>
      </c>
      <c r="D68" s="53"/>
      <c r="E68" s="53"/>
      <c r="F68" s="53"/>
      <c r="G68" s="53"/>
      <c r="H68" s="53"/>
      <c r="I68" s="53"/>
      <c r="J68" s="53"/>
      <c r="K68" s="53"/>
      <c r="L68" s="53"/>
      <c r="M68" s="53"/>
      <c r="N68" s="53"/>
      <c r="O68" s="53"/>
      <c r="P68" s="53"/>
      <c r="Q68" s="53"/>
      <c r="R68" s="53"/>
      <c r="S68" s="53"/>
      <c r="T68" s="7"/>
      <c r="U68" s="7"/>
      <c r="V68" s="7"/>
      <c r="W68" s="7"/>
      <c r="X68" s="7"/>
      <c r="Y68" s="7"/>
      <c r="Z68" s="7"/>
      <c r="AA68" s="7"/>
      <c r="AB68" s="7"/>
      <c r="AC68" s="7"/>
    </row>
    <row r="69" spans="1:29" ht="18.75" customHeight="1" x14ac:dyDescent="0.2">
      <c r="A69" s="30"/>
      <c r="B69" s="38" t="s">
        <v>211</v>
      </c>
      <c r="C69" s="32" t="s">
        <v>212</v>
      </c>
      <c r="D69" s="65"/>
      <c r="E69" s="65"/>
      <c r="F69" s="65"/>
      <c r="G69" s="65"/>
      <c r="H69" s="65"/>
      <c r="I69" s="65"/>
      <c r="J69" s="65"/>
      <c r="K69" s="65"/>
      <c r="L69" s="65"/>
      <c r="M69" s="65"/>
      <c r="N69" s="65"/>
      <c r="O69" s="65"/>
      <c r="P69" s="65"/>
      <c r="Q69" s="65"/>
      <c r="R69" s="65"/>
      <c r="S69" s="65"/>
      <c r="T69" s="66"/>
      <c r="U69" s="66"/>
      <c r="V69" s="66"/>
      <c r="W69" s="66"/>
      <c r="X69" s="66"/>
      <c r="Y69" s="66"/>
      <c r="Z69" s="66"/>
      <c r="AA69" s="66"/>
      <c r="AB69" s="66"/>
      <c r="AC69" s="66"/>
    </row>
    <row r="70" spans="1:29" ht="18.75" customHeight="1" x14ac:dyDescent="0.2">
      <c r="A70" s="220" t="s">
        <v>154</v>
      </c>
      <c r="B70" s="221"/>
      <c r="C70" s="67" t="s">
        <v>213</v>
      </c>
      <c r="D70" s="53">
        <v>3</v>
      </c>
      <c r="E70" s="53">
        <v>1</v>
      </c>
      <c r="F70" s="53">
        <v>2</v>
      </c>
      <c r="G70" s="53"/>
      <c r="H70" s="53">
        <v>1</v>
      </c>
      <c r="I70" s="53">
        <v>2</v>
      </c>
      <c r="J70" s="53"/>
      <c r="K70" s="53"/>
      <c r="L70" s="53"/>
      <c r="M70" s="53"/>
      <c r="N70" s="53"/>
      <c r="O70" s="53"/>
      <c r="P70" s="53"/>
      <c r="Q70" s="53"/>
      <c r="R70" s="53">
        <v>3</v>
      </c>
      <c r="S70" s="53">
        <v>1</v>
      </c>
      <c r="T70" s="55"/>
      <c r="U70" s="7">
        <v>1</v>
      </c>
      <c r="V70" s="7">
        <v>2</v>
      </c>
      <c r="W70" s="55"/>
      <c r="X70" s="55"/>
      <c r="Y70" s="55"/>
      <c r="Z70" s="55"/>
      <c r="AA70" s="55"/>
      <c r="AB70" s="7">
        <v>180</v>
      </c>
      <c r="AC70" s="35">
        <v>480</v>
      </c>
    </row>
    <row r="71" spans="1:29" ht="18.75" customHeight="1" x14ac:dyDescent="0.2">
      <c r="A71" s="220" t="s">
        <v>156</v>
      </c>
      <c r="B71" s="221"/>
      <c r="C71" s="67" t="s">
        <v>214</v>
      </c>
      <c r="D71" s="53">
        <v>276</v>
      </c>
      <c r="E71" s="53">
        <v>53</v>
      </c>
      <c r="F71" s="53">
        <v>209</v>
      </c>
      <c r="G71" s="53">
        <v>14</v>
      </c>
      <c r="H71" s="53">
        <v>170</v>
      </c>
      <c r="I71" s="53">
        <v>4</v>
      </c>
      <c r="J71" s="53"/>
      <c r="K71" s="53">
        <v>11</v>
      </c>
      <c r="L71" s="53"/>
      <c r="M71" s="53"/>
      <c r="N71" s="53"/>
      <c r="O71" s="53">
        <v>91</v>
      </c>
      <c r="P71" s="53"/>
      <c r="Q71" s="53"/>
      <c r="R71" s="53">
        <v>223</v>
      </c>
      <c r="S71" s="53">
        <v>186</v>
      </c>
      <c r="T71" s="7">
        <v>260</v>
      </c>
      <c r="U71" s="7">
        <v>13</v>
      </c>
      <c r="V71" s="7">
        <v>3</v>
      </c>
      <c r="W71" s="7"/>
      <c r="X71" s="7"/>
      <c r="Y71" s="7"/>
      <c r="Z71" s="7"/>
      <c r="AA71" s="7">
        <v>22</v>
      </c>
      <c r="AB71" s="7">
        <v>4140</v>
      </c>
      <c r="AC71" s="7">
        <v>31160</v>
      </c>
    </row>
  </sheetData>
  <mergeCells count="45">
    <mergeCell ref="A66:B66"/>
    <mergeCell ref="A67:B67"/>
    <mergeCell ref="A68:B68"/>
    <mergeCell ref="A70:B70"/>
    <mergeCell ref="A71:B71"/>
    <mergeCell ref="A65:B65"/>
    <mergeCell ref="A41:B41"/>
    <mergeCell ref="A42:B42"/>
    <mergeCell ref="A43:B43"/>
    <mergeCell ref="A53:B53"/>
    <mergeCell ref="A55:B55"/>
    <mergeCell ref="A59:B59"/>
    <mergeCell ref="A60:B60"/>
    <mergeCell ref="A61:B61"/>
    <mergeCell ref="A62:B62"/>
    <mergeCell ref="A63:B63"/>
    <mergeCell ref="A64:B64"/>
    <mergeCell ref="A39:B39"/>
    <mergeCell ref="A14:B14"/>
    <mergeCell ref="A24:B24"/>
    <mergeCell ref="A30:B30"/>
    <mergeCell ref="A31:B31"/>
    <mergeCell ref="A32:B32"/>
    <mergeCell ref="A33:B33"/>
    <mergeCell ref="A34:B34"/>
    <mergeCell ref="A35:B35"/>
    <mergeCell ref="A36:B36"/>
    <mergeCell ref="A37:B37"/>
    <mergeCell ref="A38:B38"/>
    <mergeCell ref="A13:B13"/>
    <mergeCell ref="A1:AC1"/>
    <mergeCell ref="A4:B6"/>
    <mergeCell ref="C4:C6"/>
    <mergeCell ref="D4:D6"/>
    <mergeCell ref="E4:G5"/>
    <mergeCell ref="H4:Q5"/>
    <mergeCell ref="R4:S5"/>
    <mergeCell ref="T4:AA5"/>
    <mergeCell ref="AB4:AB6"/>
    <mergeCell ref="AC4:AC6"/>
    <mergeCell ref="A7:B7"/>
    <mergeCell ref="A8:B8"/>
    <mergeCell ref="A9:B9"/>
    <mergeCell ref="A10:B10"/>
    <mergeCell ref="A12:B12"/>
  </mergeCells>
  <printOptions horizontalCentered="1"/>
  <pageMargins left="0.78740157480314954" right="0.39370078740157477" top="0.59055118110236249" bottom="0.78740157480314954" header="0" footer="0"/>
  <pageSetup paperSize="9" scale="66"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239"/>
  <sheetViews>
    <sheetView tabSelected="1" topLeftCell="A43" zoomScale="130" workbookViewId="0">
      <selection activeCell="I10" sqref="I10"/>
    </sheetView>
  </sheetViews>
  <sheetFormatPr defaultColWidth="9.42578125" defaultRowHeight="11.25" x14ac:dyDescent="0.2"/>
  <cols>
    <col min="1" max="1" width="0.5703125" style="68" customWidth="1"/>
    <col min="2" max="2" width="31.85546875" style="68" customWidth="1"/>
    <col min="3" max="3" width="5.140625" style="68" customWidth="1"/>
    <col min="4" max="4" width="8.7109375" style="68" customWidth="1"/>
    <col min="5" max="5" width="6.42578125" style="68" customWidth="1"/>
    <col min="6" max="6" width="4.28515625" style="68" customWidth="1"/>
    <col min="7" max="7" width="3.7109375" style="68" customWidth="1"/>
    <col min="8" max="8" width="6.5703125" style="68" customWidth="1"/>
    <col min="9" max="9" width="6.28515625" style="68" customWidth="1"/>
    <col min="10" max="10" width="4.5703125" style="68" customWidth="1"/>
    <col min="11" max="11" width="4.42578125" style="68" customWidth="1"/>
    <col min="12" max="12" width="10.5703125" style="69" customWidth="1"/>
    <col min="13" max="13" width="8.5703125" style="69" customWidth="1"/>
    <col min="14" max="14" width="5.140625" style="69" customWidth="1"/>
    <col min="15" max="15" width="5.7109375" style="69" customWidth="1"/>
    <col min="16" max="16" width="6.7109375" style="69" customWidth="1"/>
    <col min="17" max="17" width="6.28515625" style="69" customWidth="1"/>
    <col min="18" max="18" width="6.42578125" style="69" customWidth="1"/>
    <col min="19" max="19" width="4.42578125" style="69" customWidth="1"/>
    <col min="20" max="16384" width="9.42578125" style="68"/>
  </cols>
  <sheetData>
    <row r="1" spans="2:19" s="3" customFormat="1" ht="13.5" customHeight="1" x14ac:dyDescent="0.2">
      <c r="B1" s="228" t="s">
        <v>215</v>
      </c>
      <c r="C1" s="228"/>
      <c r="D1" s="228"/>
      <c r="E1" s="228"/>
      <c r="F1" s="228"/>
      <c r="G1" s="228"/>
      <c r="H1" s="228"/>
      <c r="I1" s="228"/>
      <c r="J1" s="228"/>
      <c r="K1" s="228"/>
      <c r="L1" s="228"/>
      <c r="M1" s="228"/>
      <c r="N1" s="228"/>
      <c r="O1" s="228"/>
      <c r="P1" s="228"/>
      <c r="Q1" s="228"/>
      <c r="R1" s="228"/>
      <c r="S1" s="228"/>
    </row>
    <row r="2" spans="2:19" s="3" customFormat="1" ht="12" customHeight="1" x14ac:dyDescent="0.2">
      <c r="B2" s="70"/>
      <c r="C2" s="70"/>
      <c r="D2" s="71"/>
      <c r="E2" s="71"/>
      <c r="F2" s="71"/>
      <c r="G2" s="71"/>
      <c r="H2" s="71"/>
      <c r="I2" s="71"/>
      <c r="J2" s="71"/>
      <c r="K2" s="71"/>
      <c r="L2" s="71"/>
      <c r="M2" s="229"/>
      <c r="N2" s="229"/>
      <c r="O2" s="71"/>
      <c r="P2" s="71"/>
      <c r="Q2" s="71"/>
      <c r="R2" s="71"/>
      <c r="S2" s="72" t="s">
        <v>216</v>
      </c>
    </row>
    <row r="3" spans="2:19" s="3" customFormat="1" ht="4.5" customHeight="1" x14ac:dyDescent="0.2">
      <c r="B3" s="70"/>
      <c r="C3" s="70"/>
      <c r="D3" s="71"/>
      <c r="E3" s="71"/>
      <c r="F3" s="71"/>
      <c r="G3" s="71"/>
      <c r="H3" s="71"/>
      <c r="I3" s="71"/>
      <c r="J3" s="71"/>
      <c r="K3" s="71"/>
      <c r="L3" s="71"/>
      <c r="M3" s="73"/>
      <c r="N3" s="73"/>
      <c r="O3" s="71"/>
      <c r="P3" s="71"/>
      <c r="Q3" s="71"/>
      <c r="R3" s="71"/>
      <c r="S3" s="71"/>
    </row>
    <row r="4" spans="2:19" s="4" customFormat="1" ht="21" customHeight="1" x14ac:dyDescent="0.2">
      <c r="B4" s="230"/>
      <c r="C4" s="232" t="s">
        <v>35</v>
      </c>
      <c r="D4" s="235" t="s">
        <v>217</v>
      </c>
      <c r="E4" s="236" t="s">
        <v>218</v>
      </c>
      <c r="F4" s="236"/>
      <c r="G4" s="236"/>
      <c r="H4" s="236"/>
      <c r="I4" s="236"/>
      <c r="J4" s="236"/>
      <c r="K4" s="236"/>
      <c r="L4" s="237" t="s">
        <v>219</v>
      </c>
      <c r="M4" s="237" t="s">
        <v>220</v>
      </c>
      <c r="N4" s="240" t="s">
        <v>221</v>
      </c>
      <c r="O4" s="236"/>
      <c r="P4" s="236"/>
      <c r="Q4" s="236"/>
      <c r="R4" s="236"/>
      <c r="S4" s="241"/>
    </row>
    <row r="5" spans="2:19" s="4" customFormat="1" ht="42.75" customHeight="1" x14ac:dyDescent="0.2">
      <c r="B5" s="231"/>
      <c r="C5" s="233"/>
      <c r="D5" s="235"/>
      <c r="E5" s="242" t="s">
        <v>49</v>
      </c>
      <c r="F5" s="245" t="s">
        <v>50</v>
      </c>
      <c r="G5" s="245" t="s">
        <v>51</v>
      </c>
      <c r="H5" s="245" t="s">
        <v>222</v>
      </c>
      <c r="I5" s="245" t="s">
        <v>223</v>
      </c>
      <c r="J5" s="245" t="s">
        <v>224</v>
      </c>
      <c r="K5" s="245" t="s">
        <v>225</v>
      </c>
      <c r="L5" s="238"/>
      <c r="M5" s="238"/>
      <c r="N5" s="250" t="s">
        <v>226</v>
      </c>
      <c r="O5" s="253" t="s">
        <v>227</v>
      </c>
      <c r="P5" s="253" t="s">
        <v>228</v>
      </c>
      <c r="Q5" s="253" t="s">
        <v>229</v>
      </c>
      <c r="R5" s="256" t="s">
        <v>230</v>
      </c>
      <c r="S5" s="245" t="s">
        <v>231</v>
      </c>
    </row>
    <row r="6" spans="2:19" s="4" customFormat="1" ht="15" customHeight="1" x14ac:dyDescent="0.2">
      <c r="B6" s="231"/>
      <c r="C6" s="233"/>
      <c r="D6" s="235"/>
      <c r="E6" s="243"/>
      <c r="F6" s="246"/>
      <c r="G6" s="246"/>
      <c r="H6" s="246"/>
      <c r="I6" s="246"/>
      <c r="J6" s="248"/>
      <c r="K6" s="246"/>
      <c r="L6" s="238"/>
      <c r="M6" s="238"/>
      <c r="N6" s="251"/>
      <c r="O6" s="254"/>
      <c r="P6" s="254"/>
      <c r="Q6" s="254"/>
      <c r="R6" s="256"/>
      <c r="S6" s="257"/>
    </row>
    <row r="7" spans="2:19" s="4" customFormat="1" ht="99" customHeight="1" x14ac:dyDescent="0.2">
      <c r="B7" s="231"/>
      <c r="C7" s="234"/>
      <c r="D7" s="235"/>
      <c r="E7" s="244"/>
      <c r="F7" s="247"/>
      <c r="G7" s="247"/>
      <c r="H7" s="247"/>
      <c r="I7" s="247"/>
      <c r="J7" s="249"/>
      <c r="K7" s="247"/>
      <c r="L7" s="239"/>
      <c r="M7" s="239"/>
      <c r="N7" s="252"/>
      <c r="O7" s="255"/>
      <c r="P7" s="255"/>
      <c r="Q7" s="255"/>
      <c r="R7" s="256"/>
      <c r="S7" s="258"/>
    </row>
    <row r="8" spans="2:19" ht="12" customHeight="1" x14ac:dyDescent="0.2">
      <c r="B8" s="76" t="s">
        <v>66</v>
      </c>
      <c r="C8" s="76" t="s">
        <v>67</v>
      </c>
      <c r="D8" s="76">
        <v>1</v>
      </c>
      <c r="E8" s="76">
        <v>2</v>
      </c>
      <c r="F8" s="76">
        <v>3</v>
      </c>
      <c r="G8" s="76">
        <v>4</v>
      </c>
      <c r="H8" s="76">
        <v>5</v>
      </c>
      <c r="I8" s="76">
        <v>6</v>
      </c>
      <c r="J8" s="76">
        <v>7</v>
      </c>
      <c r="K8" s="76">
        <v>8</v>
      </c>
      <c r="L8" s="76">
        <v>9</v>
      </c>
      <c r="M8" s="74">
        <v>10</v>
      </c>
      <c r="N8" s="75">
        <v>11</v>
      </c>
      <c r="O8" s="75">
        <v>12</v>
      </c>
      <c r="P8" s="75">
        <v>13</v>
      </c>
      <c r="Q8" s="75">
        <v>14</v>
      </c>
      <c r="R8" s="75">
        <v>15</v>
      </c>
      <c r="S8" s="74">
        <v>16</v>
      </c>
    </row>
    <row r="9" spans="2:19" s="77" customFormat="1" ht="21" customHeight="1" x14ac:dyDescent="0.2">
      <c r="B9" s="78" t="s">
        <v>232</v>
      </c>
      <c r="C9" s="32" t="s">
        <v>68</v>
      </c>
      <c r="D9" s="79">
        <f t="shared" ref="D9:S9" si="0">D10+D71+D186+D192+D240</f>
        <v>22851</v>
      </c>
      <c r="E9" s="79">
        <f t="shared" si="0"/>
        <v>11401</v>
      </c>
      <c r="F9" s="79">
        <f t="shared" si="0"/>
        <v>137</v>
      </c>
      <c r="G9" s="80">
        <f t="shared" si="0"/>
        <v>0</v>
      </c>
      <c r="H9" s="80">
        <f t="shared" si="0"/>
        <v>0</v>
      </c>
      <c r="I9" s="79">
        <f t="shared" si="0"/>
        <v>10850</v>
      </c>
      <c r="J9" s="79">
        <f t="shared" si="0"/>
        <v>396</v>
      </c>
      <c r="K9" s="79">
        <f t="shared" si="0"/>
        <v>67</v>
      </c>
      <c r="L9" s="79">
        <f t="shared" si="0"/>
        <v>5617</v>
      </c>
      <c r="M9" s="79">
        <f t="shared" si="0"/>
        <v>893</v>
      </c>
      <c r="N9" s="79">
        <f t="shared" si="0"/>
        <v>267</v>
      </c>
      <c r="O9" s="79">
        <f t="shared" si="0"/>
        <v>25</v>
      </c>
      <c r="P9" s="79">
        <f t="shared" si="0"/>
        <v>1</v>
      </c>
      <c r="Q9" s="80">
        <f t="shared" si="0"/>
        <v>0</v>
      </c>
      <c r="R9" s="79">
        <f t="shared" si="0"/>
        <v>590</v>
      </c>
      <c r="S9" s="79">
        <f t="shared" si="0"/>
        <v>113</v>
      </c>
    </row>
    <row r="10" spans="2:19" s="77" customFormat="1" ht="12" customHeight="1" x14ac:dyDescent="0.2">
      <c r="B10" s="81" t="s">
        <v>233</v>
      </c>
      <c r="C10" s="82" t="s">
        <v>69</v>
      </c>
      <c r="D10" s="83">
        <f>SUM(D11:D70)</f>
        <v>16257</v>
      </c>
      <c r="E10" s="83">
        <f t="shared" ref="E10:S10" si="1">SUM(E11:E70)</f>
        <v>9682</v>
      </c>
      <c r="F10" s="83">
        <f t="shared" si="1"/>
        <v>137</v>
      </c>
      <c r="G10" s="84">
        <f t="shared" si="1"/>
        <v>0</v>
      </c>
      <c r="H10" s="84">
        <f t="shared" si="1"/>
        <v>0</v>
      </c>
      <c r="I10" s="83">
        <f t="shared" si="1"/>
        <v>6209</v>
      </c>
      <c r="J10" s="85">
        <f t="shared" si="1"/>
        <v>229</v>
      </c>
      <c r="K10" s="84">
        <f t="shared" si="1"/>
        <v>0</v>
      </c>
      <c r="L10" s="83">
        <f t="shared" si="1"/>
        <v>4167</v>
      </c>
      <c r="M10" s="83">
        <f t="shared" si="1"/>
        <v>659</v>
      </c>
      <c r="N10" s="83">
        <f t="shared" si="1"/>
        <v>229</v>
      </c>
      <c r="O10" s="83">
        <f t="shared" si="1"/>
        <v>17</v>
      </c>
      <c r="P10" s="84">
        <f t="shared" si="1"/>
        <v>0</v>
      </c>
      <c r="Q10" s="84">
        <f t="shared" si="1"/>
        <v>0</v>
      </c>
      <c r="R10" s="83">
        <f t="shared" si="1"/>
        <v>447</v>
      </c>
      <c r="S10" s="83">
        <f t="shared" si="1"/>
        <v>80</v>
      </c>
    </row>
    <row r="11" spans="2:19" s="77" customFormat="1" ht="21" customHeight="1" x14ac:dyDescent="0.2">
      <c r="B11" s="86" t="s">
        <v>234</v>
      </c>
      <c r="C11" s="32" t="s">
        <v>96</v>
      </c>
      <c r="D11" s="79">
        <f t="shared" ref="D11:D70" si="2">E11+F11+G11+H11+I11+J11+K11</f>
        <v>38</v>
      </c>
      <c r="E11" s="79"/>
      <c r="F11" s="79"/>
      <c r="G11" s="79"/>
      <c r="H11" s="79"/>
      <c r="I11" s="79">
        <f>38</f>
        <v>38</v>
      </c>
      <c r="J11" s="79"/>
      <c r="K11" s="79"/>
      <c r="L11" s="87">
        <v>15</v>
      </c>
      <c r="M11" s="87">
        <v>2</v>
      </c>
      <c r="N11" s="88"/>
      <c r="O11" s="88"/>
      <c r="P11" s="88"/>
      <c r="Q11" s="88"/>
      <c r="R11" s="88">
        <v>1</v>
      </c>
      <c r="S11" s="87"/>
    </row>
    <row r="12" spans="2:19" s="77" customFormat="1" ht="12.75" customHeight="1" x14ac:dyDescent="0.2">
      <c r="B12" s="89" t="s">
        <v>235</v>
      </c>
      <c r="C12" s="32" t="s">
        <v>99</v>
      </c>
      <c r="D12" s="79">
        <f t="shared" si="2"/>
        <v>656</v>
      </c>
      <c r="E12" s="79">
        <v>236</v>
      </c>
      <c r="F12" s="90"/>
      <c r="G12" s="90"/>
      <c r="H12" s="90"/>
      <c r="I12" s="79">
        <v>420</v>
      </c>
      <c r="J12" s="90"/>
      <c r="K12" s="90"/>
      <c r="L12" s="87">
        <f>41+96</f>
        <v>137</v>
      </c>
      <c r="M12" s="87">
        <f>10</f>
        <v>10</v>
      </c>
      <c r="N12" s="88">
        <f>5</f>
        <v>5</v>
      </c>
      <c r="O12" s="88"/>
      <c r="P12" s="88"/>
      <c r="Q12" s="88"/>
      <c r="R12" s="88">
        <f>3+5</f>
        <v>8</v>
      </c>
      <c r="S12" s="87">
        <v>2</v>
      </c>
    </row>
    <row r="13" spans="2:19" s="77" customFormat="1" ht="12.75" customHeight="1" x14ac:dyDescent="0.2">
      <c r="B13" s="89" t="s">
        <v>236</v>
      </c>
      <c r="C13" s="32" t="s">
        <v>102</v>
      </c>
      <c r="D13" s="80">
        <f t="shared" si="2"/>
        <v>0</v>
      </c>
      <c r="E13" s="80"/>
      <c r="F13" s="80"/>
      <c r="G13" s="80"/>
      <c r="H13" s="80"/>
      <c r="I13" s="80"/>
      <c r="J13" s="80"/>
      <c r="K13" s="80"/>
      <c r="L13" s="91"/>
      <c r="M13" s="91"/>
      <c r="N13" s="92"/>
      <c r="O13" s="92"/>
      <c r="P13" s="92"/>
      <c r="Q13" s="92"/>
      <c r="R13" s="92"/>
      <c r="S13" s="91"/>
    </row>
    <row r="14" spans="2:19" s="77" customFormat="1" ht="12.75" customHeight="1" x14ac:dyDescent="0.2">
      <c r="B14" s="89" t="s">
        <v>237</v>
      </c>
      <c r="C14" s="32" t="s">
        <v>104</v>
      </c>
      <c r="D14" s="79">
        <f t="shared" si="2"/>
        <v>327</v>
      </c>
      <c r="E14" s="79">
        <v>316</v>
      </c>
      <c r="F14" s="79">
        <f>11</f>
        <v>11</v>
      </c>
      <c r="G14" s="90"/>
      <c r="H14" s="90"/>
      <c r="I14" s="90"/>
      <c r="J14" s="90"/>
      <c r="K14" s="90"/>
      <c r="L14" s="87">
        <f>142+5</f>
        <v>147</v>
      </c>
      <c r="M14" s="87">
        <f>31+4</f>
        <v>35</v>
      </c>
      <c r="N14" s="88">
        <f>9+2</f>
        <v>11</v>
      </c>
      <c r="O14" s="88"/>
      <c r="P14" s="88"/>
      <c r="Q14" s="88"/>
      <c r="R14" s="88">
        <f>7+22+2</f>
        <v>31</v>
      </c>
      <c r="S14" s="87">
        <f>2</f>
        <v>2</v>
      </c>
    </row>
    <row r="15" spans="2:19" s="77" customFormat="1" ht="12.75" customHeight="1" x14ac:dyDescent="0.2">
      <c r="B15" s="89" t="s">
        <v>238</v>
      </c>
      <c r="C15" s="32" t="s">
        <v>106</v>
      </c>
      <c r="D15" s="80">
        <f t="shared" si="2"/>
        <v>0</v>
      </c>
      <c r="E15" s="80"/>
      <c r="F15" s="80"/>
      <c r="G15" s="80"/>
      <c r="H15" s="80"/>
      <c r="I15" s="80"/>
      <c r="J15" s="80"/>
      <c r="K15" s="80"/>
      <c r="L15" s="93"/>
      <c r="M15" s="93"/>
      <c r="N15" s="94"/>
      <c r="O15" s="94"/>
      <c r="P15" s="94"/>
      <c r="Q15" s="94"/>
      <c r="R15" s="94"/>
      <c r="S15" s="93"/>
    </row>
    <row r="16" spans="2:19" s="77" customFormat="1" ht="12.75" customHeight="1" x14ac:dyDescent="0.2">
      <c r="B16" s="89" t="s">
        <v>239</v>
      </c>
      <c r="C16" s="32" t="s">
        <v>130</v>
      </c>
      <c r="D16" s="79">
        <f t="shared" si="2"/>
        <v>933</v>
      </c>
      <c r="E16" s="79">
        <v>601</v>
      </c>
      <c r="F16" s="79">
        <f>4</f>
        <v>4</v>
      </c>
      <c r="G16" s="79"/>
      <c r="H16" s="79"/>
      <c r="I16" s="79">
        <f>310</f>
        <v>310</v>
      </c>
      <c r="J16" s="79">
        <v>18</v>
      </c>
      <c r="K16" s="79"/>
      <c r="L16" s="87">
        <f>56+1+39</f>
        <v>96</v>
      </c>
      <c r="M16" s="87">
        <f>32+3+3</f>
        <v>38</v>
      </c>
      <c r="N16" s="88">
        <f>19+1</f>
        <v>20</v>
      </c>
      <c r="O16" s="88"/>
      <c r="P16" s="88"/>
      <c r="Q16" s="88"/>
      <c r="R16" s="88">
        <f>17+13+1+4+3</f>
        <v>38</v>
      </c>
      <c r="S16" s="91"/>
    </row>
    <row r="17" spans="2:19" s="77" customFormat="1" ht="12.75" customHeight="1" x14ac:dyDescent="0.2">
      <c r="B17" s="89" t="s">
        <v>240</v>
      </c>
      <c r="C17" s="32" t="s">
        <v>134</v>
      </c>
      <c r="D17" s="79">
        <f t="shared" si="2"/>
        <v>359</v>
      </c>
      <c r="E17" s="79">
        <v>200</v>
      </c>
      <c r="F17" s="79"/>
      <c r="G17" s="79"/>
      <c r="H17" s="79"/>
      <c r="I17" s="79">
        <f>159</f>
        <v>159</v>
      </c>
      <c r="J17" s="79"/>
      <c r="K17" s="79"/>
      <c r="L17" s="87">
        <f>13+23</f>
        <v>36</v>
      </c>
      <c r="M17" s="87">
        <f>6+5</f>
        <v>11</v>
      </c>
      <c r="N17" s="88">
        <f>3</f>
        <v>3</v>
      </c>
      <c r="O17" s="88">
        <f>1</f>
        <v>1</v>
      </c>
      <c r="P17" s="88"/>
      <c r="Q17" s="88"/>
      <c r="R17" s="88">
        <f>4+6</f>
        <v>10</v>
      </c>
      <c r="S17" s="87">
        <v>1</v>
      </c>
    </row>
    <row r="18" spans="2:19" s="77" customFormat="1" ht="12.75" customHeight="1" x14ac:dyDescent="0.2">
      <c r="B18" s="89" t="s">
        <v>241</v>
      </c>
      <c r="C18" s="32" t="s">
        <v>142</v>
      </c>
      <c r="D18" s="80">
        <f t="shared" si="2"/>
        <v>0</v>
      </c>
      <c r="E18" s="80"/>
      <c r="F18" s="80"/>
      <c r="G18" s="80"/>
      <c r="H18" s="80"/>
      <c r="I18" s="95"/>
      <c r="J18" s="80"/>
      <c r="K18" s="80"/>
      <c r="L18" s="93"/>
      <c r="M18" s="93"/>
      <c r="N18" s="94"/>
      <c r="O18" s="94"/>
      <c r="P18" s="94"/>
      <c r="Q18" s="94"/>
      <c r="R18" s="94"/>
      <c r="S18" s="93"/>
    </row>
    <row r="19" spans="2:19" s="77" customFormat="1" ht="12.75" customHeight="1" x14ac:dyDescent="0.2">
      <c r="B19" s="89" t="s">
        <v>242</v>
      </c>
      <c r="C19" s="32" t="s">
        <v>144</v>
      </c>
      <c r="D19" s="80">
        <f t="shared" si="2"/>
        <v>0</v>
      </c>
      <c r="E19" s="80"/>
      <c r="F19" s="80"/>
      <c r="G19" s="80"/>
      <c r="H19" s="80"/>
      <c r="I19" s="80"/>
      <c r="J19" s="80"/>
      <c r="K19" s="80"/>
      <c r="L19" s="93"/>
      <c r="M19" s="93"/>
      <c r="N19" s="94"/>
      <c r="O19" s="94"/>
      <c r="P19" s="94"/>
      <c r="Q19" s="94"/>
      <c r="R19" s="94"/>
      <c r="S19" s="93"/>
    </row>
    <row r="20" spans="2:19" s="77" customFormat="1" ht="12.75" customHeight="1" x14ac:dyDescent="0.2">
      <c r="B20" s="86" t="s">
        <v>243</v>
      </c>
      <c r="C20" s="32" t="s">
        <v>146</v>
      </c>
      <c r="D20" s="79">
        <f t="shared" si="2"/>
        <v>189</v>
      </c>
      <c r="E20" s="79">
        <v>187</v>
      </c>
      <c r="F20" s="79">
        <f>2</f>
        <v>2</v>
      </c>
      <c r="G20" s="79"/>
      <c r="H20" s="79"/>
      <c r="I20" s="79"/>
      <c r="J20" s="79"/>
      <c r="K20" s="79"/>
      <c r="L20" s="87">
        <f>34+2</f>
        <v>36</v>
      </c>
      <c r="M20" s="87">
        <f>12+2</f>
        <v>14</v>
      </c>
      <c r="N20" s="88">
        <f t="shared" ref="N20:N21" si="3">6</f>
        <v>6</v>
      </c>
      <c r="O20" s="88"/>
      <c r="P20" s="88"/>
      <c r="Q20" s="88"/>
      <c r="R20" s="88">
        <f>4+6</f>
        <v>10</v>
      </c>
      <c r="S20" s="87">
        <f>1</f>
        <v>1</v>
      </c>
    </row>
    <row r="21" spans="2:19" s="77" customFormat="1" ht="12" customHeight="1" x14ac:dyDescent="0.2">
      <c r="B21" s="96" t="s">
        <v>244</v>
      </c>
      <c r="C21" s="32" t="s">
        <v>148</v>
      </c>
      <c r="D21" s="79">
        <f t="shared" si="2"/>
        <v>151</v>
      </c>
      <c r="E21" s="79">
        <v>135</v>
      </c>
      <c r="F21" s="79"/>
      <c r="G21" s="79"/>
      <c r="H21" s="79"/>
      <c r="I21" s="79">
        <v>16</v>
      </c>
      <c r="J21" s="79"/>
      <c r="K21" s="79"/>
      <c r="L21" s="87">
        <f>34</f>
        <v>34</v>
      </c>
      <c r="M21" s="87">
        <f>8</f>
        <v>8</v>
      </c>
      <c r="N21" s="88">
        <f t="shared" si="3"/>
        <v>6</v>
      </c>
      <c r="O21" s="88"/>
      <c r="P21" s="88"/>
      <c r="Q21" s="88"/>
      <c r="R21" s="88">
        <f>6</f>
        <v>6</v>
      </c>
      <c r="S21" s="87"/>
    </row>
    <row r="22" spans="2:19" s="77" customFormat="1" ht="12.75" customHeight="1" x14ac:dyDescent="0.2">
      <c r="B22" s="96" t="s">
        <v>245</v>
      </c>
      <c r="C22" s="32" t="s">
        <v>150</v>
      </c>
      <c r="D22" s="80">
        <f t="shared" si="2"/>
        <v>0</v>
      </c>
      <c r="E22" s="80"/>
      <c r="F22" s="80"/>
      <c r="G22" s="80"/>
      <c r="H22" s="80"/>
      <c r="I22" s="80"/>
      <c r="J22" s="80"/>
      <c r="K22" s="80"/>
      <c r="L22" s="93"/>
      <c r="M22" s="93"/>
      <c r="N22" s="94"/>
      <c r="O22" s="94"/>
      <c r="P22" s="94"/>
      <c r="Q22" s="94"/>
      <c r="R22" s="94"/>
      <c r="S22" s="93"/>
    </row>
    <row r="23" spans="2:19" s="77" customFormat="1" ht="12.75" customHeight="1" x14ac:dyDescent="0.2">
      <c r="B23" s="96" t="s">
        <v>246</v>
      </c>
      <c r="C23" s="32" t="s">
        <v>152</v>
      </c>
      <c r="D23" s="80">
        <f t="shared" si="2"/>
        <v>0</v>
      </c>
      <c r="E23" s="80"/>
      <c r="F23" s="80"/>
      <c r="G23" s="80"/>
      <c r="H23" s="80"/>
      <c r="I23" s="80"/>
      <c r="J23" s="80"/>
      <c r="K23" s="80"/>
      <c r="L23" s="93"/>
      <c r="M23" s="93"/>
      <c r="N23" s="94"/>
      <c r="O23" s="94"/>
      <c r="P23" s="94"/>
      <c r="Q23" s="94"/>
      <c r="R23" s="94"/>
      <c r="S23" s="93"/>
    </row>
    <row r="24" spans="2:19" s="77" customFormat="1" ht="12.75" customHeight="1" x14ac:dyDescent="0.2">
      <c r="B24" s="96" t="s">
        <v>247</v>
      </c>
      <c r="C24" s="32" t="s">
        <v>155</v>
      </c>
      <c r="D24" s="79">
        <f t="shared" si="2"/>
        <v>178</v>
      </c>
      <c r="E24" s="79">
        <v>178</v>
      </c>
      <c r="F24" s="79"/>
      <c r="G24" s="79"/>
      <c r="H24" s="79"/>
      <c r="I24" s="79"/>
      <c r="J24" s="79"/>
      <c r="K24" s="79"/>
      <c r="L24" s="87">
        <f>40</f>
        <v>40</v>
      </c>
      <c r="M24" s="87">
        <f>8</f>
        <v>8</v>
      </c>
      <c r="N24" s="88">
        <f>8</f>
        <v>8</v>
      </c>
      <c r="O24" s="88"/>
      <c r="P24" s="88"/>
      <c r="Q24" s="88"/>
      <c r="R24" s="88">
        <f>8</f>
        <v>8</v>
      </c>
      <c r="S24" s="87">
        <f>3</f>
        <v>3</v>
      </c>
    </row>
    <row r="25" spans="2:19" s="77" customFormat="1" ht="12.75" customHeight="1" x14ac:dyDescent="0.2">
      <c r="B25" s="96" t="s">
        <v>248</v>
      </c>
      <c r="C25" s="32" t="s">
        <v>157</v>
      </c>
      <c r="D25" s="97">
        <f t="shared" si="2"/>
        <v>0</v>
      </c>
      <c r="E25" s="97"/>
      <c r="F25" s="97"/>
      <c r="G25" s="97"/>
      <c r="H25" s="97"/>
      <c r="I25" s="97"/>
      <c r="J25" s="97"/>
      <c r="K25" s="97"/>
      <c r="L25" s="91"/>
      <c r="M25" s="91"/>
      <c r="N25" s="92"/>
      <c r="O25" s="92"/>
      <c r="P25" s="92"/>
      <c r="Q25" s="92"/>
      <c r="R25" s="92"/>
      <c r="S25" s="91"/>
    </row>
    <row r="26" spans="2:19" s="77" customFormat="1" ht="12.75" customHeight="1" x14ac:dyDescent="0.2">
      <c r="B26" s="96" t="s">
        <v>249</v>
      </c>
      <c r="C26" s="32" t="s">
        <v>250</v>
      </c>
      <c r="D26" s="97">
        <f t="shared" si="2"/>
        <v>0</v>
      </c>
      <c r="E26" s="97"/>
      <c r="F26" s="97"/>
      <c r="G26" s="97"/>
      <c r="H26" s="97"/>
      <c r="I26" s="97"/>
      <c r="J26" s="97"/>
      <c r="K26" s="97"/>
      <c r="L26" s="91"/>
      <c r="M26" s="91"/>
      <c r="N26" s="92"/>
      <c r="O26" s="92"/>
      <c r="P26" s="92"/>
      <c r="Q26" s="92"/>
      <c r="R26" s="92"/>
      <c r="S26" s="91"/>
    </row>
    <row r="27" spans="2:19" s="77" customFormat="1" ht="12.75" customHeight="1" x14ac:dyDescent="0.2">
      <c r="B27" s="96" t="s">
        <v>251</v>
      </c>
      <c r="C27" s="32" t="s">
        <v>252</v>
      </c>
      <c r="D27" s="79">
        <f t="shared" si="2"/>
        <v>3201</v>
      </c>
      <c r="E27" s="79">
        <v>1521</v>
      </c>
      <c r="F27" s="79">
        <f>52</f>
        <v>52</v>
      </c>
      <c r="G27" s="79"/>
      <c r="H27" s="79"/>
      <c r="I27" s="79">
        <v>1602</v>
      </c>
      <c r="J27" s="79">
        <v>26</v>
      </c>
      <c r="K27" s="79"/>
      <c r="L27" s="87">
        <f>853+24+432</f>
        <v>1309</v>
      </c>
      <c r="M27" s="87">
        <f>56+7+50</f>
        <v>113</v>
      </c>
      <c r="N27" s="88">
        <f>23+5</f>
        <v>28</v>
      </c>
      <c r="O27" s="88">
        <v>4</v>
      </c>
      <c r="P27" s="88"/>
      <c r="Q27" s="88"/>
      <c r="R27" s="88">
        <f>23+33+5</f>
        <v>61</v>
      </c>
      <c r="S27" s="87">
        <f>15</f>
        <v>15</v>
      </c>
    </row>
    <row r="28" spans="2:19" s="77" customFormat="1" ht="12.75" customHeight="1" x14ac:dyDescent="0.2">
      <c r="B28" s="96" t="s">
        <v>253</v>
      </c>
      <c r="C28" s="32" t="s">
        <v>254</v>
      </c>
      <c r="D28" s="79">
        <f t="shared" si="2"/>
        <v>149</v>
      </c>
      <c r="E28" s="79">
        <v>48</v>
      </c>
      <c r="F28" s="79">
        <f>9</f>
        <v>9</v>
      </c>
      <c r="G28" s="79"/>
      <c r="H28" s="79"/>
      <c r="I28" s="79">
        <f>92</f>
        <v>92</v>
      </c>
      <c r="J28" s="79"/>
      <c r="K28" s="79"/>
      <c r="L28" s="87">
        <f>31+48</f>
        <v>79</v>
      </c>
      <c r="M28" s="87">
        <f>3+2+3</f>
        <v>8</v>
      </c>
      <c r="N28" s="88">
        <f>2+2</f>
        <v>4</v>
      </c>
      <c r="O28" s="88"/>
      <c r="P28" s="88"/>
      <c r="Q28" s="88"/>
      <c r="R28" s="88">
        <f>2+1+2</f>
        <v>5</v>
      </c>
      <c r="S28" s="87">
        <f>1</f>
        <v>1</v>
      </c>
    </row>
    <row r="29" spans="2:19" s="77" customFormat="1" ht="12.75" customHeight="1" x14ac:dyDescent="0.2">
      <c r="B29" s="96" t="s">
        <v>255</v>
      </c>
      <c r="C29" s="32" t="s">
        <v>256</v>
      </c>
      <c r="D29" s="97">
        <f t="shared" si="2"/>
        <v>0</v>
      </c>
      <c r="E29" s="97"/>
      <c r="F29" s="97"/>
      <c r="G29" s="97"/>
      <c r="H29" s="97"/>
      <c r="I29" s="97"/>
      <c r="J29" s="97"/>
      <c r="K29" s="97"/>
      <c r="L29" s="91"/>
      <c r="M29" s="91"/>
      <c r="N29" s="92"/>
      <c r="O29" s="92"/>
      <c r="P29" s="92"/>
      <c r="Q29" s="92"/>
      <c r="R29" s="92"/>
      <c r="S29" s="91"/>
    </row>
    <row r="30" spans="2:19" s="77" customFormat="1" ht="12.75" customHeight="1" x14ac:dyDescent="0.2">
      <c r="B30" s="96" t="s">
        <v>257</v>
      </c>
      <c r="C30" s="32" t="s">
        <v>258</v>
      </c>
      <c r="D30" s="79">
        <f t="shared" si="2"/>
        <v>222</v>
      </c>
      <c r="E30" s="79">
        <v>136</v>
      </c>
      <c r="F30" s="79"/>
      <c r="G30" s="79"/>
      <c r="H30" s="79"/>
      <c r="I30" s="79">
        <f>86</f>
        <v>86</v>
      </c>
      <c r="J30" s="79"/>
      <c r="K30" s="79"/>
      <c r="L30" s="87">
        <f>136+26+20</f>
        <v>182</v>
      </c>
      <c r="M30" s="87">
        <f>3+3</f>
        <v>6</v>
      </c>
      <c r="N30" s="88">
        <f>5</f>
        <v>5</v>
      </c>
      <c r="O30" s="88"/>
      <c r="P30" s="88"/>
      <c r="Q30" s="88"/>
      <c r="R30" s="88">
        <f>8</f>
        <v>8</v>
      </c>
      <c r="S30" s="87">
        <f>8</f>
        <v>8</v>
      </c>
    </row>
    <row r="31" spans="2:19" s="77" customFormat="1" ht="12.75" customHeight="1" x14ac:dyDescent="0.2">
      <c r="B31" s="96" t="s">
        <v>259</v>
      </c>
      <c r="C31" s="32" t="s">
        <v>260</v>
      </c>
      <c r="D31" s="79">
        <f t="shared" si="2"/>
        <v>352</v>
      </c>
      <c r="E31" s="79">
        <v>256</v>
      </c>
      <c r="F31" s="79">
        <f>14</f>
        <v>14</v>
      </c>
      <c r="G31" s="79"/>
      <c r="H31" s="79"/>
      <c r="I31" s="79">
        <v>82</v>
      </c>
      <c r="J31" s="79"/>
      <c r="K31" s="79"/>
      <c r="L31" s="87">
        <f>256+14+62+20</f>
        <v>352</v>
      </c>
      <c r="M31" s="87">
        <f>14+2+2</f>
        <v>18</v>
      </c>
      <c r="N31" s="88">
        <f>9+1</f>
        <v>10</v>
      </c>
      <c r="O31" s="88"/>
      <c r="P31" s="88"/>
      <c r="Q31" s="88"/>
      <c r="R31" s="88">
        <f>9+5+1</f>
        <v>15</v>
      </c>
      <c r="S31" s="87">
        <v>18</v>
      </c>
    </row>
    <row r="32" spans="2:19" s="77" customFormat="1" ht="12.75" customHeight="1" x14ac:dyDescent="0.2">
      <c r="B32" s="96" t="s">
        <v>261</v>
      </c>
      <c r="C32" s="32" t="s">
        <v>262</v>
      </c>
      <c r="D32" s="97">
        <f t="shared" si="2"/>
        <v>0</v>
      </c>
      <c r="E32" s="97"/>
      <c r="F32" s="97"/>
      <c r="G32" s="97"/>
      <c r="H32" s="97"/>
      <c r="I32" s="97"/>
      <c r="J32" s="97"/>
      <c r="K32" s="97"/>
      <c r="L32" s="91"/>
      <c r="M32" s="91"/>
      <c r="N32" s="92"/>
      <c r="O32" s="92"/>
      <c r="P32" s="92"/>
      <c r="Q32" s="92"/>
      <c r="R32" s="92"/>
      <c r="S32" s="91"/>
    </row>
    <row r="33" spans="2:19" s="77" customFormat="1" ht="12.75" customHeight="1" x14ac:dyDescent="0.2">
      <c r="B33" s="96" t="s">
        <v>263</v>
      </c>
      <c r="C33" s="32" t="s">
        <v>264</v>
      </c>
      <c r="D33" s="97">
        <f t="shared" si="2"/>
        <v>0</v>
      </c>
      <c r="E33" s="97"/>
      <c r="F33" s="97"/>
      <c r="G33" s="97"/>
      <c r="H33" s="97"/>
      <c r="I33" s="97"/>
      <c r="J33" s="97"/>
      <c r="K33" s="97"/>
      <c r="L33" s="91"/>
      <c r="M33" s="91"/>
      <c r="N33" s="91"/>
      <c r="O33" s="91"/>
      <c r="P33" s="91"/>
      <c r="Q33" s="91"/>
      <c r="R33" s="91"/>
      <c r="S33" s="91"/>
    </row>
    <row r="34" spans="2:19" s="77" customFormat="1" ht="12.75" customHeight="1" x14ac:dyDescent="0.2">
      <c r="B34" s="96" t="s">
        <v>265</v>
      </c>
      <c r="C34" s="32" t="s">
        <v>266</v>
      </c>
      <c r="D34" s="79">
        <f t="shared" si="2"/>
        <v>888</v>
      </c>
      <c r="E34" s="79">
        <v>662</v>
      </c>
      <c r="F34" s="79">
        <f>8</f>
        <v>8</v>
      </c>
      <c r="G34" s="79"/>
      <c r="H34" s="79"/>
      <c r="I34" s="79">
        <f>218</f>
        <v>218</v>
      </c>
      <c r="J34" s="79"/>
      <c r="K34" s="79"/>
      <c r="L34" s="87">
        <f>134+4+48</f>
        <v>186</v>
      </c>
      <c r="M34" s="87">
        <f>28+5+2</f>
        <v>35</v>
      </c>
      <c r="N34" s="87">
        <f>14+1</f>
        <v>15</v>
      </c>
      <c r="O34" s="87"/>
      <c r="P34" s="87"/>
      <c r="Q34" s="87"/>
      <c r="R34" s="87">
        <f>14+14+1+6</f>
        <v>35</v>
      </c>
      <c r="S34" s="87">
        <f>5</f>
        <v>5</v>
      </c>
    </row>
    <row r="35" spans="2:19" s="77" customFormat="1" ht="12.75" customHeight="1" x14ac:dyDescent="0.2">
      <c r="B35" s="96" t="s">
        <v>267</v>
      </c>
      <c r="C35" s="32" t="s">
        <v>268</v>
      </c>
      <c r="D35" s="80">
        <f t="shared" si="2"/>
        <v>0</v>
      </c>
      <c r="E35" s="80"/>
      <c r="F35" s="80"/>
      <c r="G35" s="80"/>
      <c r="H35" s="80"/>
      <c r="I35" s="80"/>
      <c r="J35" s="80"/>
      <c r="K35" s="80"/>
      <c r="L35" s="93"/>
      <c r="M35" s="93"/>
      <c r="N35" s="93"/>
      <c r="O35" s="93"/>
      <c r="P35" s="93"/>
      <c r="Q35" s="93"/>
      <c r="R35" s="93"/>
      <c r="S35" s="93"/>
    </row>
    <row r="36" spans="2:19" s="77" customFormat="1" ht="12.75" customHeight="1" x14ac:dyDescent="0.2">
      <c r="B36" s="96" t="s">
        <v>269</v>
      </c>
      <c r="C36" s="32" t="s">
        <v>270</v>
      </c>
      <c r="D36" s="80">
        <f t="shared" si="2"/>
        <v>0</v>
      </c>
      <c r="E36" s="80"/>
      <c r="F36" s="80"/>
      <c r="G36" s="80"/>
      <c r="H36" s="80"/>
      <c r="I36" s="80"/>
      <c r="J36" s="80"/>
      <c r="K36" s="80"/>
      <c r="L36" s="93"/>
      <c r="M36" s="93"/>
      <c r="N36" s="93"/>
      <c r="O36" s="93"/>
      <c r="P36" s="93"/>
      <c r="Q36" s="93"/>
      <c r="R36" s="93"/>
      <c r="S36" s="93"/>
    </row>
    <row r="37" spans="2:19" s="77" customFormat="1" ht="12.75" customHeight="1" x14ac:dyDescent="0.2">
      <c r="B37" s="96" t="s">
        <v>271</v>
      </c>
      <c r="C37" s="32" t="s">
        <v>272</v>
      </c>
      <c r="D37" s="80">
        <f t="shared" si="2"/>
        <v>0</v>
      </c>
      <c r="E37" s="80"/>
      <c r="F37" s="80"/>
      <c r="G37" s="80"/>
      <c r="H37" s="80"/>
      <c r="I37" s="80"/>
      <c r="J37" s="80"/>
      <c r="K37" s="80"/>
      <c r="L37" s="93"/>
      <c r="M37" s="93"/>
      <c r="N37" s="93"/>
      <c r="O37" s="93"/>
      <c r="P37" s="93"/>
      <c r="Q37" s="93"/>
      <c r="R37" s="93"/>
      <c r="S37" s="93"/>
    </row>
    <row r="38" spans="2:19" s="77" customFormat="1" ht="12.75" customHeight="1" x14ac:dyDescent="0.2">
      <c r="B38" s="96" t="s">
        <v>273</v>
      </c>
      <c r="C38" s="32" t="s">
        <v>274</v>
      </c>
      <c r="D38" s="80">
        <f t="shared" si="2"/>
        <v>0</v>
      </c>
      <c r="E38" s="80"/>
      <c r="F38" s="80"/>
      <c r="G38" s="80"/>
      <c r="H38" s="80"/>
      <c r="I38" s="80"/>
      <c r="J38" s="80"/>
      <c r="K38" s="80"/>
      <c r="L38" s="93"/>
      <c r="M38" s="93"/>
      <c r="N38" s="93"/>
      <c r="O38" s="93"/>
      <c r="P38" s="93"/>
      <c r="Q38" s="93"/>
      <c r="R38" s="93"/>
      <c r="S38" s="93"/>
    </row>
    <row r="39" spans="2:19" s="77" customFormat="1" ht="12.75" customHeight="1" x14ac:dyDescent="0.2">
      <c r="B39" s="96" t="s">
        <v>275</v>
      </c>
      <c r="C39" s="32" t="s">
        <v>276</v>
      </c>
      <c r="D39" s="79">
        <f t="shared" si="2"/>
        <v>1526</v>
      </c>
      <c r="E39" s="79">
        <v>1200</v>
      </c>
      <c r="F39" s="79">
        <f>2</f>
        <v>2</v>
      </c>
      <c r="G39" s="79"/>
      <c r="H39" s="79"/>
      <c r="I39" s="79">
        <f>324</f>
        <v>324</v>
      </c>
      <c r="J39" s="79"/>
      <c r="K39" s="79"/>
      <c r="L39" s="87">
        <f>565+2+101</f>
        <v>668</v>
      </c>
      <c r="M39" s="87">
        <f>62+2+18</f>
        <v>82</v>
      </c>
      <c r="N39" s="87">
        <f>36+1</f>
        <v>37</v>
      </c>
      <c r="O39" s="87"/>
      <c r="P39" s="87"/>
      <c r="Q39" s="87"/>
      <c r="R39" s="87">
        <f>30+26+10</f>
        <v>66</v>
      </c>
      <c r="S39" s="87">
        <f>14</f>
        <v>14</v>
      </c>
    </row>
    <row r="40" spans="2:19" s="77" customFormat="1" ht="12.75" customHeight="1" x14ac:dyDescent="0.2">
      <c r="B40" s="96" t="s">
        <v>277</v>
      </c>
      <c r="C40" s="32" t="s">
        <v>278</v>
      </c>
      <c r="D40" s="97">
        <f t="shared" si="2"/>
        <v>0</v>
      </c>
      <c r="E40" s="97"/>
      <c r="F40" s="97"/>
      <c r="G40" s="97"/>
      <c r="H40" s="97"/>
      <c r="I40" s="97"/>
      <c r="J40" s="97"/>
      <c r="K40" s="97"/>
      <c r="L40" s="91"/>
      <c r="M40" s="91"/>
      <c r="N40" s="91"/>
      <c r="O40" s="91"/>
      <c r="P40" s="91"/>
      <c r="Q40" s="91"/>
      <c r="R40" s="91"/>
      <c r="S40" s="91"/>
    </row>
    <row r="41" spans="2:19" s="77" customFormat="1" ht="12.75" customHeight="1" x14ac:dyDescent="0.2">
      <c r="B41" s="96" t="s">
        <v>279</v>
      </c>
      <c r="C41" s="32" t="s">
        <v>280</v>
      </c>
      <c r="D41" s="79">
        <f t="shared" si="2"/>
        <v>135</v>
      </c>
      <c r="E41" s="79">
        <v>120</v>
      </c>
      <c r="F41" s="79"/>
      <c r="G41" s="79"/>
      <c r="H41" s="79"/>
      <c r="I41" s="79">
        <v>15</v>
      </c>
      <c r="J41" s="79"/>
      <c r="K41" s="79"/>
      <c r="L41" s="87">
        <f>49</f>
        <v>49</v>
      </c>
      <c r="M41" s="87">
        <f>10</f>
        <v>10</v>
      </c>
      <c r="N41" s="87">
        <f>5</f>
        <v>5</v>
      </c>
      <c r="O41" s="87"/>
      <c r="P41" s="87"/>
      <c r="Q41" s="87"/>
      <c r="R41" s="87">
        <f>5+5</f>
        <v>10</v>
      </c>
      <c r="S41" s="87">
        <f>2</f>
        <v>2</v>
      </c>
    </row>
    <row r="42" spans="2:19" s="77" customFormat="1" ht="12.75" customHeight="1" x14ac:dyDescent="0.2">
      <c r="B42" s="96" t="s">
        <v>281</v>
      </c>
      <c r="C42" s="32" t="s">
        <v>282</v>
      </c>
      <c r="D42" s="79">
        <f t="shared" si="2"/>
        <v>26</v>
      </c>
      <c r="E42" s="97"/>
      <c r="F42" s="97"/>
      <c r="G42" s="97"/>
      <c r="H42" s="97"/>
      <c r="I42" s="79">
        <f>26</f>
        <v>26</v>
      </c>
      <c r="J42" s="97"/>
      <c r="K42" s="97"/>
      <c r="L42" s="87">
        <f>12</f>
        <v>12</v>
      </c>
      <c r="M42" s="87">
        <v>2</v>
      </c>
      <c r="N42" s="93"/>
      <c r="O42" s="93"/>
      <c r="P42" s="93"/>
      <c r="Q42" s="93"/>
      <c r="R42" s="93"/>
      <c r="S42" s="93"/>
    </row>
    <row r="43" spans="2:19" s="77" customFormat="1" ht="12.75" customHeight="1" x14ac:dyDescent="0.2">
      <c r="B43" s="96" t="s">
        <v>283</v>
      </c>
      <c r="C43" s="32" t="s">
        <v>284</v>
      </c>
      <c r="D43" s="80">
        <f t="shared" si="2"/>
        <v>0</v>
      </c>
      <c r="E43" s="80"/>
      <c r="F43" s="80"/>
      <c r="G43" s="80"/>
      <c r="H43" s="80"/>
      <c r="I43" s="80"/>
      <c r="J43" s="80"/>
      <c r="K43" s="80"/>
      <c r="L43" s="93"/>
      <c r="M43" s="93"/>
      <c r="N43" s="93"/>
      <c r="O43" s="93"/>
      <c r="P43" s="93"/>
      <c r="Q43" s="93"/>
      <c r="R43" s="93"/>
      <c r="S43" s="93"/>
    </row>
    <row r="44" spans="2:19" s="77" customFormat="1" ht="12.75" customHeight="1" x14ac:dyDescent="0.2">
      <c r="B44" s="96" t="s">
        <v>285</v>
      </c>
      <c r="C44" s="32" t="s">
        <v>286</v>
      </c>
      <c r="D44" s="80">
        <f t="shared" si="2"/>
        <v>0</v>
      </c>
      <c r="E44" s="80"/>
      <c r="F44" s="80"/>
      <c r="G44" s="80"/>
      <c r="H44" s="80"/>
      <c r="I44" s="80"/>
      <c r="J44" s="80"/>
      <c r="K44" s="80"/>
      <c r="L44" s="93"/>
      <c r="M44" s="93"/>
      <c r="N44" s="93"/>
      <c r="O44" s="93"/>
      <c r="P44" s="93"/>
      <c r="Q44" s="93"/>
      <c r="R44" s="93"/>
      <c r="S44" s="93"/>
    </row>
    <row r="45" spans="2:19" s="77" customFormat="1" ht="12.75" customHeight="1" x14ac:dyDescent="0.2">
      <c r="B45" s="96" t="s">
        <v>287</v>
      </c>
      <c r="C45" s="32" t="s">
        <v>288</v>
      </c>
      <c r="D45" s="80">
        <f t="shared" si="2"/>
        <v>0</v>
      </c>
      <c r="E45" s="80"/>
      <c r="F45" s="80"/>
      <c r="G45" s="80"/>
      <c r="H45" s="80"/>
      <c r="I45" s="80"/>
      <c r="J45" s="80"/>
      <c r="K45" s="80"/>
      <c r="L45" s="93"/>
      <c r="M45" s="93"/>
      <c r="N45" s="93"/>
      <c r="O45" s="93"/>
      <c r="P45" s="93"/>
      <c r="Q45" s="93"/>
      <c r="R45" s="93"/>
      <c r="S45" s="93"/>
    </row>
    <row r="46" spans="2:19" s="77" customFormat="1" ht="12.75" customHeight="1" x14ac:dyDescent="0.2">
      <c r="B46" s="96" t="s">
        <v>289</v>
      </c>
      <c r="C46" s="32" t="s">
        <v>290</v>
      </c>
      <c r="D46" s="80">
        <f t="shared" si="2"/>
        <v>0</v>
      </c>
      <c r="E46" s="80"/>
      <c r="F46" s="80"/>
      <c r="G46" s="80"/>
      <c r="H46" s="80"/>
      <c r="I46" s="80"/>
      <c r="J46" s="80"/>
      <c r="K46" s="80"/>
      <c r="L46" s="93"/>
      <c r="M46" s="93"/>
      <c r="N46" s="93"/>
      <c r="O46" s="93"/>
      <c r="P46" s="93"/>
      <c r="Q46" s="93"/>
      <c r="R46" s="93"/>
      <c r="S46" s="93"/>
    </row>
    <row r="47" spans="2:19" s="77" customFormat="1" ht="12.75" customHeight="1" x14ac:dyDescent="0.2">
      <c r="B47" s="96" t="s">
        <v>291</v>
      </c>
      <c r="C47" s="32" t="s">
        <v>292</v>
      </c>
      <c r="D47" s="80">
        <f t="shared" si="2"/>
        <v>0</v>
      </c>
      <c r="E47" s="80"/>
      <c r="F47" s="80"/>
      <c r="G47" s="80"/>
      <c r="H47" s="80"/>
      <c r="I47" s="80"/>
      <c r="J47" s="80"/>
      <c r="K47" s="80"/>
      <c r="L47" s="93"/>
      <c r="M47" s="93"/>
      <c r="N47" s="93"/>
      <c r="O47" s="93"/>
      <c r="P47" s="93"/>
      <c r="Q47" s="93"/>
      <c r="R47" s="93"/>
      <c r="S47" s="93"/>
    </row>
    <row r="48" spans="2:19" s="77" customFormat="1" ht="12.75" customHeight="1" x14ac:dyDescent="0.2">
      <c r="B48" s="96" t="s">
        <v>293</v>
      </c>
      <c r="C48" s="32" t="s">
        <v>294</v>
      </c>
      <c r="D48" s="79">
        <f t="shared" si="2"/>
        <v>24</v>
      </c>
      <c r="E48" s="79"/>
      <c r="F48" s="79"/>
      <c r="G48" s="79"/>
      <c r="H48" s="79"/>
      <c r="I48" s="79">
        <f>24</f>
        <v>24</v>
      </c>
      <c r="J48" s="80"/>
      <c r="K48" s="80"/>
      <c r="L48" s="87">
        <v>6</v>
      </c>
      <c r="M48" s="87">
        <v>1</v>
      </c>
      <c r="N48" s="93"/>
      <c r="O48" s="93"/>
      <c r="P48" s="93"/>
      <c r="Q48" s="93"/>
      <c r="R48" s="93"/>
      <c r="S48" s="93"/>
    </row>
    <row r="49" spans="2:19" s="77" customFormat="1" ht="12.75" customHeight="1" x14ac:dyDescent="0.2">
      <c r="B49" s="96" t="s">
        <v>295</v>
      </c>
      <c r="C49" s="32" t="s">
        <v>296</v>
      </c>
      <c r="D49" s="80">
        <f t="shared" si="2"/>
        <v>0</v>
      </c>
      <c r="E49" s="80"/>
      <c r="F49" s="80"/>
      <c r="G49" s="80"/>
      <c r="H49" s="80"/>
      <c r="I49" s="80"/>
      <c r="J49" s="80"/>
      <c r="K49" s="80"/>
      <c r="L49" s="93"/>
      <c r="M49" s="93"/>
      <c r="N49" s="93"/>
      <c r="O49" s="93"/>
      <c r="P49" s="93"/>
      <c r="Q49" s="93"/>
      <c r="R49" s="93"/>
      <c r="S49" s="93"/>
    </row>
    <row r="50" spans="2:19" s="77" customFormat="1" ht="12.75" customHeight="1" x14ac:dyDescent="0.2">
      <c r="B50" s="96" t="s">
        <v>297</v>
      </c>
      <c r="C50" s="32" t="s">
        <v>298</v>
      </c>
      <c r="D50" s="80">
        <f t="shared" si="2"/>
        <v>0</v>
      </c>
      <c r="E50" s="80"/>
      <c r="F50" s="80"/>
      <c r="G50" s="80"/>
      <c r="H50" s="80"/>
      <c r="I50" s="80"/>
      <c r="J50" s="80"/>
      <c r="K50" s="80"/>
      <c r="L50" s="93"/>
      <c r="M50" s="93"/>
      <c r="N50" s="93"/>
      <c r="O50" s="93"/>
      <c r="P50" s="93"/>
      <c r="Q50" s="93"/>
      <c r="R50" s="93"/>
      <c r="S50" s="93"/>
    </row>
    <row r="51" spans="2:19" s="77" customFormat="1" ht="12.75" customHeight="1" x14ac:dyDescent="0.2">
      <c r="B51" s="96" t="s">
        <v>299</v>
      </c>
      <c r="C51" s="32" t="s">
        <v>300</v>
      </c>
      <c r="D51" s="80">
        <f t="shared" si="2"/>
        <v>0</v>
      </c>
      <c r="E51" s="80"/>
      <c r="F51" s="80"/>
      <c r="G51" s="80"/>
      <c r="H51" s="80"/>
      <c r="I51" s="80"/>
      <c r="J51" s="80"/>
      <c r="K51" s="80"/>
      <c r="L51" s="93"/>
      <c r="M51" s="93"/>
      <c r="N51" s="93"/>
      <c r="O51" s="93"/>
      <c r="P51" s="93"/>
      <c r="Q51" s="93"/>
      <c r="R51" s="93"/>
      <c r="S51" s="93"/>
    </row>
    <row r="52" spans="2:19" s="77" customFormat="1" ht="12.75" customHeight="1" x14ac:dyDescent="0.2">
      <c r="B52" s="96" t="s">
        <v>301</v>
      </c>
      <c r="C52" s="32" t="s">
        <v>302</v>
      </c>
      <c r="D52" s="79">
        <f t="shared" si="2"/>
        <v>65</v>
      </c>
      <c r="E52" s="79">
        <v>23</v>
      </c>
      <c r="F52" s="79"/>
      <c r="G52" s="79"/>
      <c r="H52" s="79"/>
      <c r="I52" s="79">
        <f>42</f>
        <v>42</v>
      </c>
      <c r="J52" s="79"/>
      <c r="K52" s="79"/>
      <c r="L52" s="87">
        <f>13+12</f>
        <v>25</v>
      </c>
      <c r="M52" s="87">
        <f>3</f>
        <v>3</v>
      </c>
      <c r="N52" s="87">
        <f>1</f>
        <v>1</v>
      </c>
      <c r="O52" s="87"/>
      <c r="P52" s="87"/>
      <c r="Q52" s="87"/>
      <c r="R52" s="87">
        <f>1+2</f>
        <v>3</v>
      </c>
      <c r="S52" s="87"/>
    </row>
    <row r="53" spans="2:19" s="77" customFormat="1" ht="12.75" customHeight="1" x14ac:dyDescent="0.2">
      <c r="B53" s="96" t="s">
        <v>303</v>
      </c>
      <c r="C53" s="32" t="s">
        <v>304</v>
      </c>
      <c r="D53" s="80">
        <f t="shared" si="2"/>
        <v>0</v>
      </c>
      <c r="E53" s="80"/>
      <c r="F53" s="80"/>
      <c r="G53" s="80"/>
      <c r="H53" s="80"/>
      <c r="I53" s="80"/>
      <c r="J53" s="80"/>
      <c r="K53" s="80"/>
      <c r="L53" s="93"/>
      <c r="M53" s="93"/>
      <c r="N53" s="93"/>
      <c r="O53" s="93"/>
      <c r="P53" s="93"/>
      <c r="Q53" s="93"/>
      <c r="R53" s="93"/>
      <c r="S53" s="93"/>
    </row>
    <row r="54" spans="2:19" s="77" customFormat="1" ht="12.75" customHeight="1" x14ac:dyDescent="0.2">
      <c r="B54" s="96" t="s">
        <v>305</v>
      </c>
      <c r="C54" s="32" t="s">
        <v>306</v>
      </c>
      <c r="D54" s="80">
        <f t="shared" si="2"/>
        <v>0</v>
      </c>
      <c r="E54" s="80"/>
      <c r="F54" s="80"/>
      <c r="G54" s="80"/>
      <c r="H54" s="80"/>
      <c r="I54" s="80"/>
      <c r="J54" s="80"/>
      <c r="K54" s="80"/>
      <c r="L54" s="93"/>
      <c r="M54" s="93"/>
      <c r="N54" s="93"/>
      <c r="O54" s="93"/>
      <c r="P54" s="93"/>
      <c r="Q54" s="93"/>
      <c r="R54" s="93"/>
      <c r="S54" s="93"/>
    </row>
    <row r="55" spans="2:19" s="77" customFormat="1" ht="12.75" customHeight="1" x14ac:dyDescent="0.2">
      <c r="B55" s="96" t="s">
        <v>307</v>
      </c>
      <c r="C55" s="32" t="s">
        <v>308</v>
      </c>
      <c r="D55" s="79">
        <f t="shared" si="2"/>
        <v>25</v>
      </c>
      <c r="E55" s="79">
        <v>22</v>
      </c>
      <c r="F55" s="79"/>
      <c r="G55" s="79"/>
      <c r="H55" s="79"/>
      <c r="I55" s="79">
        <v>3</v>
      </c>
      <c r="J55" s="79"/>
      <c r="K55" s="79"/>
      <c r="L55" s="87">
        <f>18</f>
        <v>18</v>
      </c>
      <c r="M55" s="87">
        <f>1</f>
        <v>1</v>
      </c>
      <c r="N55" s="87">
        <f>1</f>
        <v>1</v>
      </c>
      <c r="O55" s="87"/>
      <c r="P55" s="87"/>
      <c r="Q55" s="87"/>
      <c r="R55" s="87">
        <f>1</f>
        <v>1</v>
      </c>
      <c r="S55" s="87"/>
    </row>
    <row r="56" spans="2:19" s="77" customFormat="1" ht="12.75" customHeight="1" x14ac:dyDescent="0.2">
      <c r="B56" s="96" t="s">
        <v>309</v>
      </c>
      <c r="C56" s="32" t="s">
        <v>310</v>
      </c>
      <c r="D56" s="79">
        <f t="shared" si="2"/>
        <v>132</v>
      </c>
      <c r="E56" s="79">
        <v>82</v>
      </c>
      <c r="F56" s="79">
        <f>12</f>
        <v>12</v>
      </c>
      <c r="G56" s="79"/>
      <c r="H56" s="79"/>
      <c r="I56" s="79">
        <f>38</f>
        <v>38</v>
      </c>
      <c r="J56" s="79"/>
      <c r="K56" s="79"/>
      <c r="L56" s="87">
        <f>35+8</f>
        <v>43</v>
      </c>
      <c r="M56" s="87">
        <f>8+5</f>
        <v>13</v>
      </c>
      <c r="N56" s="87">
        <f>4+1</f>
        <v>5</v>
      </c>
      <c r="O56" s="87"/>
      <c r="P56" s="87"/>
      <c r="Q56" s="87"/>
      <c r="R56" s="87">
        <f>4+4+1+2</f>
        <v>11</v>
      </c>
      <c r="S56" s="87">
        <f>2</f>
        <v>2</v>
      </c>
    </row>
    <row r="57" spans="2:19" s="77" customFormat="1" ht="12.75" customHeight="1" x14ac:dyDescent="0.2">
      <c r="B57" s="96" t="s">
        <v>311</v>
      </c>
      <c r="C57" s="32" t="s">
        <v>312</v>
      </c>
      <c r="D57" s="79">
        <f t="shared" si="2"/>
        <v>12</v>
      </c>
      <c r="E57" s="79"/>
      <c r="F57" s="79"/>
      <c r="G57" s="79"/>
      <c r="H57" s="79"/>
      <c r="I57" s="79">
        <f>12</f>
        <v>12</v>
      </c>
      <c r="J57" s="80"/>
      <c r="K57" s="80"/>
      <c r="L57" s="93"/>
      <c r="M57" s="87">
        <v>1</v>
      </c>
      <c r="N57" s="93"/>
      <c r="O57" s="93"/>
      <c r="P57" s="93"/>
      <c r="Q57" s="93"/>
      <c r="R57" s="98">
        <v>1</v>
      </c>
      <c r="S57" s="93"/>
    </row>
    <row r="58" spans="2:19" s="99" customFormat="1" ht="12.75" customHeight="1" x14ac:dyDescent="0.2">
      <c r="B58" s="96" t="s">
        <v>313</v>
      </c>
      <c r="C58" s="32" t="s">
        <v>314</v>
      </c>
      <c r="D58" s="80">
        <f t="shared" si="2"/>
        <v>0</v>
      </c>
      <c r="E58" s="80"/>
      <c r="F58" s="80"/>
      <c r="G58" s="80"/>
      <c r="H58" s="80"/>
      <c r="I58" s="95"/>
      <c r="J58" s="80"/>
      <c r="K58" s="80"/>
      <c r="L58" s="93"/>
      <c r="M58" s="93"/>
      <c r="N58" s="93"/>
      <c r="O58" s="93"/>
      <c r="P58" s="93"/>
      <c r="Q58" s="93"/>
      <c r="R58" s="93"/>
      <c r="S58" s="93"/>
    </row>
    <row r="59" spans="2:19" s="77" customFormat="1" ht="12.75" customHeight="1" x14ac:dyDescent="0.2">
      <c r="B59" s="96" t="s">
        <v>315</v>
      </c>
      <c r="C59" s="32" t="s">
        <v>316</v>
      </c>
      <c r="D59" s="79">
        <f t="shared" si="2"/>
        <v>28</v>
      </c>
      <c r="E59" s="79"/>
      <c r="F59" s="79"/>
      <c r="G59" s="79"/>
      <c r="H59" s="79"/>
      <c r="I59" s="79">
        <f>28</f>
        <v>28</v>
      </c>
      <c r="J59" s="80"/>
      <c r="K59" s="80"/>
      <c r="L59" s="87">
        <v>8</v>
      </c>
      <c r="M59" s="87">
        <v>2</v>
      </c>
      <c r="N59" s="93"/>
      <c r="O59" s="93"/>
      <c r="P59" s="93"/>
      <c r="Q59" s="93"/>
      <c r="R59" s="93"/>
      <c r="S59" s="93"/>
    </row>
    <row r="60" spans="2:19" s="77" customFormat="1" ht="12.75" customHeight="1" x14ac:dyDescent="0.2">
      <c r="B60" s="96" t="s">
        <v>317</v>
      </c>
      <c r="C60" s="32" t="s">
        <v>318</v>
      </c>
      <c r="D60" s="79">
        <f t="shared" si="2"/>
        <v>957</v>
      </c>
      <c r="E60" s="79">
        <v>305</v>
      </c>
      <c r="F60" s="79">
        <f>2</f>
        <v>2</v>
      </c>
      <c r="G60" s="79"/>
      <c r="H60" s="79"/>
      <c r="I60" s="79">
        <f>630</f>
        <v>630</v>
      </c>
      <c r="J60" s="79">
        <v>20</v>
      </c>
      <c r="K60" s="79"/>
      <c r="L60" s="87">
        <f>116+160</f>
        <v>276</v>
      </c>
      <c r="M60" s="87">
        <f>14+1+41</f>
        <v>56</v>
      </c>
      <c r="N60" s="87">
        <f>4+1</f>
        <v>5</v>
      </c>
      <c r="O60" s="87"/>
      <c r="P60" s="87"/>
      <c r="Q60" s="87"/>
      <c r="R60" s="87">
        <f>4+10+1+2</f>
        <v>17</v>
      </c>
      <c r="S60" s="87">
        <f>2</f>
        <v>2</v>
      </c>
    </row>
    <row r="61" spans="2:19" s="77" customFormat="1" ht="12.75" customHeight="1" x14ac:dyDescent="0.2">
      <c r="B61" s="96" t="s">
        <v>319</v>
      </c>
      <c r="C61" s="32" t="s">
        <v>320</v>
      </c>
      <c r="D61" s="79">
        <f t="shared" si="2"/>
        <v>12</v>
      </c>
      <c r="E61" s="100"/>
      <c r="F61" s="100"/>
      <c r="G61" s="100"/>
      <c r="H61" s="100"/>
      <c r="I61" s="79">
        <f>12</f>
        <v>12</v>
      </c>
      <c r="J61" s="79"/>
      <c r="K61" s="79"/>
      <c r="L61" s="87">
        <v>4</v>
      </c>
      <c r="M61" s="87">
        <f>1</f>
        <v>1</v>
      </c>
      <c r="N61" s="87"/>
      <c r="O61" s="87"/>
      <c r="P61" s="87"/>
      <c r="Q61" s="87"/>
      <c r="R61" s="87">
        <v>1</v>
      </c>
      <c r="S61" s="101"/>
    </row>
    <row r="62" spans="2:19" s="77" customFormat="1" ht="12.75" customHeight="1" x14ac:dyDescent="0.2">
      <c r="B62" s="96" t="s">
        <v>321</v>
      </c>
      <c r="C62" s="32" t="s">
        <v>322</v>
      </c>
      <c r="D62" s="79">
        <f t="shared" si="2"/>
        <v>232</v>
      </c>
      <c r="E62" s="79">
        <v>146</v>
      </c>
      <c r="F62" s="79"/>
      <c r="G62" s="79"/>
      <c r="H62" s="79"/>
      <c r="I62" s="79">
        <f>86</f>
        <v>86</v>
      </c>
      <c r="J62" s="79"/>
      <c r="K62" s="79"/>
      <c r="L62" s="87">
        <f>33+13</f>
        <v>46</v>
      </c>
      <c r="M62" s="87">
        <f>4+2</f>
        <v>6</v>
      </c>
      <c r="N62" s="87">
        <f>2</f>
        <v>2</v>
      </c>
      <c r="O62" s="87"/>
      <c r="P62" s="87"/>
      <c r="Q62" s="87"/>
      <c r="R62" s="87">
        <f>2+2</f>
        <v>4</v>
      </c>
      <c r="S62" s="87">
        <f>1</f>
        <v>1</v>
      </c>
    </row>
    <row r="63" spans="2:19" s="77" customFormat="1" ht="12.75" customHeight="1" x14ac:dyDescent="0.2">
      <c r="B63" s="96" t="s">
        <v>323</v>
      </c>
      <c r="C63" s="32" t="s">
        <v>324</v>
      </c>
      <c r="D63" s="80">
        <f t="shared" si="2"/>
        <v>0</v>
      </c>
      <c r="E63" s="80"/>
      <c r="F63" s="80"/>
      <c r="G63" s="80"/>
      <c r="H63" s="80"/>
      <c r="I63" s="80"/>
      <c r="J63" s="80"/>
      <c r="K63" s="80"/>
      <c r="L63" s="93"/>
      <c r="M63" s="93"/>
      <c r="N63" s="93"/>
      <c r="O63" s="93"/>
      <c r="P63" s="93"/>
      <c r="Q63" s="93"/>
      <c r="R63" s="93"/>
      <c r="S63" s="93"/>
    </row>
    <row r="64" spans="2:19" s="77" customFormat="1" ht="12.75" customHeight="1" x14ac:dyDescent="0.2">
      <c r="B64" s="96" t="s">
        <v>325</v>
      </c>
      <c r="C64" s="32" t="s">
        <v>326</v>
      </c>
      <c r="D64" s="80">
        <f t="shared" si="2"/>
        <v>0</v>
      </c>
      <c r="E64" s="80"/>
      <c r="F64" s="80"/>
      <c r="G64" s="80"/>
      <c r="H64" s="80"/>
      <c r="I64" s="80"/>
      <c r="J64" s="80"/>
      <c r="K64" s="80"/>
      <c r="L64" s="93"/>
      <c r="M64" s="93"/>
      <c r="N64" s="93"/>
      <c r="O64" s="93"/>
      <c r="P64" s="93"/>
      <c r="Q64" s="93"/>
      <c r="R64" s="93"/>
      <c r="S64" s="93"/>
    </row>
    <row r="65" spans="2:19" s="77" customFormat="1" ht="12.75" customHeight="1" x14ac:dyDescent="0.2">
      <c r="B65" s="96" t="s">
        <v>327</v>
      </c>
      <c r="C65" s="32" t="s">
        <v>328</v>
      </c>
      <c r="D65" s="80">
        <f t="shared" si="2"/>
        <v>0</v>
      </c>
      <c r="E65" s="80"/>
      <c r="F65" s="80"/>
      <c r="G65" s="80"/>
      <c r="H65" s="80"/>
      <c r="I65" s="80"/>
      <c r="J65" s="80"/>
      <c r="K65" s="80"/>
      <c r="L65" s="93"/>
      <c r="M65" s="93"/>
      <c r="N65" s="93"/>
      <c r="O65" s="93"/>
      <c r="P65" s="93"/>
      <c r="Q65" s="93"/>
      <c r="R65" s="93"/>
      <c r="S65" s="93"/>
    </row>
    <row r="66" spans="2:19" s="77" customFormat="1" ht="12.75" customHeight="1" x14ac:dyDescent="0.2">
      <c r="B66" s="96" t="s">
        <v>329</v>
      </c>
      <c r="C66" s="32" t="s">
        <v>330</v>
      </c>
      <c r="D66" s="80">
        <f t="shared" si="2"/>
        <v>0</v>
      </c>
      <c r="E66" s="80"/>
      <c r="F66" s="80"/>
      <c r="G66" s="80"/>
      <c r="H66" s="80"/>
      <c r="I66" s="80"/>
      <c r="J66" s="80"/>
      <c r="K66" s="80"/>
      <c r="L66" s="93"/>
      <c r="M66" s="93"/>
      <c r="N66" s="93"/>
      <c r="O66" s="93"/>
      <c r="P66" s="93"/>
      <c r="Q66" s="93"/>
      <c r="R66" s="93"/>
      <c r="S66" s="93"/>
    </row>
    <row r="67" spans="2:19" s="77" customFormat="1" ht="12.75" customHeight="1" x14ac:dyDescent="0.2">
      <c r="B67" s="96" t="s">
        <v>331</v>
      </c>
      <c r="C67" s="32" t="s">
        <v>332</v>
      </c>
      <c r="D67" s="79">
        <f t="shared" si="2"/>
        <v>5422</v>
      </c>
      <c r="E67" s="79">
        <v>3308</v>
      </c>
      <c r="F67" s="79">
        <f>21</f>
        <v>21</v>
      </c>
      <c r="G67" s="79"/>
      <c r="H67" s="79"/>
      <c r="I67" s="79">
        <f>1928</f>
        <v>1928</v>
      </c>
      <c r="J67" s="79">
        <v>165</v>
      </c>
      <c r="K67" s="79"/>
      <c r="L67" s="87">
        <f>274+21+48+20</f>
        <v>363</v>
      </c>
      <c r="M67" s="87">
        <f>98+5+70</f>
        <v>173</v>
      </c>
      <c r="N67" s="87">
        <f>50+2</f>
        <v>52</v>
      </c>
      <c r="O67" s="87">
        <f>12</f>
        <v>12</v>
      </c>
      <c r="P67" s="87"/>
      <c r="Q67" s="87"/>
      <c r="R67" s="87">
        <f>46+48+2</f>
        <v>96</v>
      </c>
      <c r="S67" s="87">
        <f>1+2</f>
        <v>3</v>
      </c>
    </row>
    <row r="68" spans="2:19" s="77" customFormat="1" ht="12.75" customHeight="1" x14ac:dyDescent="0.2">
      <c r="B68" s="96" t="s">
        <v>333</v>
      </c>
      <c r="C68" s="32" t="s">
        <v>334</v>
      </c>
      <c r="D68" s="79">
        <f t="shared" si="2"/>
        <v>18</v>
      </c>
      <c r="E68" s="79"/>
      <c r="F68" s="79"/>
      <c r="G68" s="79"/>
      <c r="H68" s="79"/>
      <c r="I68" s="79">
        <f>18</f>
        <v>18</v>
      </c>
      <c r="J68" s="79"/>
      <c r="K68" s="79"/>
      <c r="L68" s="87"/>
      <c r="M68" s="87">
        <v>2</v>
      </c>
      <c r="N68" s="87"/>
      <c r="O68" s="87"/>
      <c r="P68" s="87"/>
      <c r="Q68" s="91"/>
      <c r="R68" s="87">
        <v>1</v>
      </c>
      <c r="S68" s="91"/>
    </row>
    <row r="69" spans="2:19" s="77" customFormat="1" ht="12.75" customHeight="1" x14ac:dyDescent="0.2">
      <c r="B69" s="96" t="s">
        <v>335</v>
      </c>
      <c r="C69" s="32" t="s">
        <v>336</v>
      </c>
      <c r="D69" s="80">
        <f t="shared" si="2"/>
        <v>0</v>
      </c>
      <c r="E69" s="80"/>
      <c r="F69" s="80"/>
      <c r="G69" s="80"/>
      <c r="H69" s="80"/>
      <c r="I69" s="80"/>
      <c r="J69" s="80"/>
      <c r="K69" s="80"/>
      <c r="L69" s="93"/>
      <c r="M69" s="93"/>
      <c r="N69" s="93"/>
      <c r="O69" s="93"/>
      <c r="P69" s="93"/>
      <c r="Q69" s="93"/>
      <c r="R69" s="93"/>
      <c r="S69" s="93"/>
    </row>
    <row r="70" spans="2:19" s="77" customFormat="1" ht="12.75" customHeight="1" x14ac:dyDescent="0.2">
      <c r="B70" s="96" t="s">
        <v>337</v>
      </c>
      <c r="C70" s="32" t="s">
        <v>338</v>
      </c>
      <c r="D70" s="80">
        <f t="shared" si="2"/>
        <v>0</v>
      </c>
      <c r="E70" s="80"/>
      <c r="F70" s="80"/>
      <c r="G70" s="80"/>
      <c r="H70" s="80"/>
      <c r="I70" s="80"/>
      <c r="J70" s="80"/>
      <c r="K70" s="80"/>
      <c r="L70" s="93"/>
      <c r="M70" s="93"/>
      <c r="N70" s="93"/>
      <c r="O70" s="93"/>
      <c r="P70" s="93"/>
      <c r="Q70" s="93"/>
      <c r="R70" s="93"/>
      <c r="S70" s="93"/>
    </row>
    <row r="71" spans="2:19" s="77" customFormat="1" ht="20.25" customHeight="1" x14ac:dyDescent="0.2">
      <c r="B71" s="102" t="s">
        <v>339</v>
      </c>
      <c r="C71" s="103" t="s">
        <v>70</v>
      </c>
      <c r="D71" s="79">
        <f>SUM(D72:D185)</f>
        <v>6070</v>
      </c>
      <c r="E71" s="79">
        <f t="shared" ref="E71:S71" si="4">SUM(E72:E185)</f>
        <v>1376</v>
      </c>
      <c r="F71" s="79">
        <f t="shared" si="4"/>
        <v>0</v>
      </c>
      <c r="G71" s="79">
        <f t="shared" si="4"/>
        <v>0</v>
      </c>
      <c r="H71" s="79">
        <f t="shared" si="4"/>
        <v>0</v>
      </c>
      <c r="I71" s="79">
        <f t="shared" si="4"/>
        <v>4527</v>
      </c>
      <c r="J71" s="79">
        <f t="shared" si="4"/>
        <v>167</v>
      </c>
      <c r="K71" s="79">
        <f t="shared" si="4"/>
        <v>0</v>
      </c>
      <c r="L71" s="79">
        <f t="shared" si="4"/>
        <v>1369</v>
      </c>
      <c r="M71" s="79">
        <f t="shared" si="4"/>
        <v>193</v>
      </c>
      <c r="N71" s="79">
        <f t="shared" si="4"/>
        <v>25</v>
      </c>
      <c r="O71" s="79">
        <f t="shared" si="4"/>
        <v>8</v>
      </c>
      <c r="P71" s="79">
        <f t="shared" si="4"/>
        <v>1</v>
      </c>
      <c r="Q71" s="79">
        <f t="shared" si="4"/>
        <v>0</v>
      </c>
      <c r="R71" s="79">
        <f t="shared" si="4"/>
        <v>109</v>
      </c>
      <c r="S71" s="79">
        <f t="shared" si="4"/>
        <v>22</v>
      </c>
    </row>
    <row r="72" spans="2:19" s="77" customFormat="1" ht="21" customHeight="1" x14ac:dyDescent="0.2">
      <c r="B72" s="86" t="s">
        <v>340</v>
      </c>
      <c r="C72" s="103" t="s">
        <v>160</v>
      </c>
      <c r="D72" s="79">
        <f t="shared" ref="D72:D135" si="5">E72+F72+G72+H72+I72+J72+K72</f>
        <v>112</v>
      </c>
      <c r="E72" s="100"/>
      <c r="F72" s="100"/>
      <c r="G72" s="100"/>
      <c r="H72" s="100"/>
      <c r="I72" s="79">
        <f>112</f>
        <v>112</v>
      </c>
      <c r="J72" s="79"/>
      <c r="K72" s="97"/>
      <c r="L72" s="91"/>
      <c r="M72" s="87">
        <f>5</f>
        <v>5</v>
      </c>
      <c r="N72" s="91"/>
      <c r="O72" s="91"/>
      <c r="P72" s="91"/>
      <c r="Q72" s="93"/>
      <c r="R72" s="93"/>
      <c r="S72" s="93"/>
    </row>
    <row r="73" spans="2:19" s="77" customFormat="1" ht="15.6" customHeight="1" x14ac:dyDescent="0.2">
      <c r="B73" s="96" t="s">
        <v>341</v>
      </c>
      <c r="C73" s="103" t="s">
        <v>162</v>
      </c>
      <c r="D73" s="79">
        <f t="shared" si="5"/>
        <v>68</v>
      </c>
      <c r="E73" s="80"/>
      <c r="F73" s="80"/>
      <c r="G73" s="80"/>
      <c r="H73" s="80"/>
      <c r="I73" s="79">
        <f>68</f>
        <v>68</v>
      </c>
      <c r="J73" s="79"/>
      <c r="K73" s="80"/>
      <c r="L73" s="93"/>
      <c r="M73" s="87">
        <f>3</f>
        <v>3</v>
      </c>
      <c r="N73" s="93"/>
      <c r="O73" s="93"/>
      <c r="P73" s="93"/>
      <c r="Q73" s="93"/>
      <c r="R73" s="93"/>
      <c r="S73" s="93"/>
    </row>
    <row r="74" spans="2:19" s="77" customFormat="1" ht="12.75" customHeight="1" x14ac:dyDescent="0.2">
      <c r="B74" s="96" t="s">
        <v>342</v>
      </c>
      <c r="C74" s="103" t="s">
        <v>164</v>
      </c>
      <c r="D74" s="79">
        <f t="shared" si="5"/>
        <v>54</v>
      </c>
      <c r="E74" s="79"/>
      <c r="F74" s="79"/>
      <c r="G74" s="79"/>
      <c r="H74" s="79"/>
      <c r="I74" s="79">
        <f>54</f>
        <v>54</v>
      </c>
      <c r="J74" s="79"/>
      <c r="K74" s="80"/>
      <c r="L74" s="93"/>
      <c r="M74" s="93">
        <f>2</f>
        <v>2</v>
      </c>
      <c r="N74" s="93"/>
      <c r="O74" s="93"/>
      <c r="P74" s="93"/>
      <c r="Q74" s="93"/>
      <c r="R74" s="93"/>
      <c r="S74" s="93"/>
    </row>
    <row r="75" spans="2:19" s="77" customFormat="1" ht="13.5" customHeight="1" x14ac:dyDescent="0.2">
      <c r="B75" s="96" t="s">
        <v>343</v>
      </c>
      <c r="C75" s="103" t="s">
        <v>166</v>
      </c>
      <c r="D75" s="64">
        <f t="shared" si="5"/>
        <v>156</v>
      </c>
      <c r="E75" s="47"/>
      <c r="F75" s="47"/>
      <c r="G75" s="47"/>
      <c r="H75" s="47"/>
      <c r="I75" s="79">
        <f>156</f>
        <v>156</v>
      </c>
      <c r="J75" s="79"/>
      <c r="K75" s="47"/>
      <c r="L75" s="65">
        <v>69</v>
      </c>
      <c r="M75" s="65">
        <v>4</v>
      </c>
      <c r="N75" s="65"/>
      <c r="O75" s="65">
        <v>1</v>
      </c>
      <c r="P75" s="65">
        <v>1</v>
      </c>
      <c r="Q75" s="65"/>
      <c r="R75" s="65">
        <v>4</v>
      </c>
      <c r="S75" s="65">
        <v>4</v>
      </c>
    </row>
    <row r="76" spans="2:19" s="77" customFormat="1" ht="13.5" customHeight="1" x14ac:dyDescent="0.2">
      <c r="B76" s="96" t="s">
        <v>344</v>
      </c>
      <c r="C76" s="103" t="s">
        <v>168</v>
      </c>
      <c r="D76" s="80">
        <f t="shared" si="5"/>
        <v>0</v>
      </c>
      <c r="E76" s="80"/>
      <c r="F76" s="80"/>
      <c r="G76" s="80"/>
      <c r="H76" s="80"/>
      <c r="I76" s="80"/>
      <c r="J76" s="79"/>
      <c r="K76" s="80"/>
      <c r="L76" s="93"/>
      <c r="M76" s="93"/>
      <c r="N76" s="93"/>
      <c r="O76" s="93"/>
      <c r="P76" s="93"/>
      <c r="Q76" s="93"/>
      <c r="R76" s="93"/>
      <c r="S76" s="93"/>
    </row>
    <row r="77" spans="2:19" s="77" customFormat="1" ht="12.75" customHeight="1" x14ac:dyDescent="0.2">
      <c r="B77" s="96" t="s">
        <v>345</v>
      </c>
      <c r="C77" s="103" t="s">
        <v>186</v>
      </c>
      <c r="D77" s="80">
        <f t="shared" si="5"/>
        <v>0</v>
      </c>
      <c r="E77" s="80"/>
      <c r="F77" s="80"/>
      <c r="G77" s="80"/>
      <c r="H77" s="80"/>
      <c r="I77" s="80"/>
      <c r="J77" s="79"/>
      <c r="K77" s="80"/>
      <c r="L77" s="93"/>
      <c r="M77" s="93"/>
      <c r="N77" s="93"/>
      <c r="O77" s="93"/>
      <c r="P77" s="93"/>
      <c r="Q77" s="93"/>
      <c r="R77" s="93"/>
      <c r="S77" s="93"/>
    </row>
    <row r="78" spans="2:19" s="77" customFormat="1" ht="12.75" customHeight="1" x14ac:dyDescent="0.2">
      <c r="B78" s="96" t="s">
        <v>346</v>
      </c>
      <c r="C78" s="103" t="s">
        <v>190</v>
      </c>
      <c r="D78" s="80">
        <f t="shared" si="5"/>
        <v>0</v>
      </c>
      <c r="E78" s="80"/>
      <c r="F78" s="80"/>
      <c r="G78" s="80"/>
      <c r="H78" s="80"/>
      <c r="I78" s="80"/>
      <c r="J78" s="79"/>
      <c r="K78" s="80"/>
      <c r="L78" s="93"/>
      <c r="M78" s="93"/>
      <c r="N78" s="93"/>
      <c r="O78" s="93"/>
      <c r="P78" s="93"/>
      <c r="Q78" s="93"/>
      <c r="R78" s="93"/>
      <c r="S78" s="93"/>
    </row>
    <row r="79" spans="2:19" s="77" customFormat="1" ht="14.1" customHeight="1" x14ac:dyDescent="0.2">
      <c r="B79" s="96" t="s">
        <v>347</v>
      </c>
      <c r="C79" s="103" t="s">
        <v>197</v>
      </c>
      <c r="D79" s="80">
        <f t="shared" si="5"/>
        <v>0</v>
      </c>
      <c r="E79" s="80"/>
      <c r="F79" s="80"/>
      <c r="G79" s="80"/>
      <c r="H79" s="80"/>
      <c r="I79" s="80"/>
      <c r="J79" s="79"/>
      <c r="K79" s="80"/>
      <c r="L79" s="93"/>
      <c r="M79" s="93"/>
      <c r="N79" s="93"/>
      <c r="O79" s="93"/>
      <c r="P79" s="93"/>
      <c r="Q79" s="93"/>
      <c r="R79" s="93"/>
      <c r="S79" s="93"/>
    </row>
    <row r="80" spans="2:19" s="77" customFormat="1" ht="12" customHeight="1" x14ac:dyDescent="0.2">
      <c r="B80" s="96" t="s">
        <v>348</v>
      </c>
      <c r="C80" s="103" t="s">
        <v>198</v>
      </c>
      <c r="D80" s="79">
        <f t="shared" si="5"/>
        <v>107</v>
      </c>
      <c r="E80" s="79">
        <v>28</v>
      </c>
      <c r="F80" s="79"/>
      <c r="G80" s="79"/>
      <c r="H80" s="79"/>
      <c r="I80" s="79">
        <f>69</f>
        <v>69</v>
      </c>
      <c r="J80" s="79">
        <v>10</v>
      </c>
      <c r="K80" s="79"/>
      <c r="L80" s="87">
        <f>4</f>
        <v>4</v>
      </c>
      <c r="M80" s="87">
        <f>1+2</f>
        <v>3</v>
      </c>
      <c r="N80" s="87"/>
      <c r="O80" s="87"/>
      <c r="P80" s="87"/>
      <c r="Q80" s="87"/>
      <c r="R80" s="87">
        <f>1</f>
        <v>1</v>
      </c>
      <c r="S80" s="93"/>
    </row>
    <row r="81" spans="2:19" s="77" customFormat="1" ht="13.35" customHeight="1" x14ac:dyDescent="0.2">
      <c r="B81" s="96" t="s">
        <v>349</v>
      </c>
      <c r="C81" s="103" t="s">
        <v>199</v>
      </c>
      <c r="D81" s="79">
        <f t="shared" si="5"/>
        <v>14</v>
      </c>
      <c r="E81" s="79"/>
      <c r="F81" s="79"/>
      <c r="G81" s="79"/>
      <c r="H81" s="79"/>
      <c r="I81" s="79">
        <f>14</f>
        <v>14</v>
      </c>
      <c r="J81" s="79"/>
      <c r="K81" s="95"/>
      <c r="L81" s="87">
        <v>4</v>
      </c>
      <c r="M81" s="87">
        <v>1</v>
      </c>
      <c r="N81" s="93"/>
      <c r="O81" s="93"/>
      <c r="P81" s="93"/>
      <c r="Q81" s="93"/>
      <c r="R81" s="93"/>
      <c r="S81" s="93"/>
    </row>
    <row r="82" spans="2:19" s="77" customFormat="1" ht="13.35" customHeight="1" x14ac:dyDescent="0.2">
      <c r="B82" s="96" t="s">
        <v>350</v>
      </c>
      <c r="C82" s="103" t="s">
        <v>200</v>
      </c>
      <c r="D82" s="79">
        <f t="shared" si="5"/>
        <v>36</v>
      </c>
      <c r="E82" s="80"/>
      <c r="F82" s="80"/>
      <c r="G82" s="80"/>
      <c r="H82" s="80"/>
      <c r="I82" s="79">
        <f>36</f>
        <v>36</v>
      </c>
      <c r="J82" s="79"/>
      <c r="K82" s="95"/>
      <c r="L82" s="87">
        <v>6</v>
      </c>
      <c r="M82" s="87">
        <v>2</v>
      </c>
      <c r="N82" s="93"/>
      <c r="O82" s="93"/>
      <c r="P82" s="93"/>
      <c r="Q82" s="93"/>
      <c r="R82" s="93"/>
      <c r="S82" s="93"/>
    </row>
    <row r="83" spans="2:19" s="77" customFormat="1" ht="13.35" customHeight="1" x14ac:dyDescent="0.2">
      <c r="B83" s="96" t="s">
        <v>351</v>
      </c>
      <c r="C83" s="103" t="s">
        <v>201</v>
      </c>
      <c r="D83" s="80">
        <f t="shared" si="5"/>
        <v>0</v>
      </c>
      <c r="E83" s="80"/>
      <c r="F83" s="80"/>
      <c r="G83" s="80"/>
      <c r="H83" s="80"/>
      <c r="I83" s="80"/>
      <c r="J83" s="79"/>
      <c r="K83" s="80"/>
      <c r="L83" s="93"/>
      <c r="M83" s="93"/>
      <c r="N83" s="93"/>
      <c r="O83" s="93"/>
      <c r="P83" s="93"/>
      <c r="Q83" s="93"/>
      <c r="R83" s="93"/>
      <c r="S83" s="93"/>
    </row>
    <row r="84" spans="2:19" s="77" customFormat="1" ht="13.35" customHeight="1" x14ac:dyDescent="0.2">
      <c r="B84" s="96" t="s">
        <v>352</v>
      </c>
      <c r="C84" s="103" t="s">
        <v>203</v>
      </c>
      <c r="D84" s="79">
        <f t="shared" si="5"/>
        <v>30</v>
      </c>
      <c r="E84" s="79"/>
      <c r="F84" s="79"/>
      <c r="G84" s="79"/>
      <c r="H84" s="79"/>
      <c r="I84" s="79">
        <f>30</f>
        <v>30</v>
      </c>
      <c r="J84" s="79"/>
      <c r="K84" s="95"/>
      <c r="L84" s="87">
        <v>1</v>
      </c>
      <c r="M84" s="87">
        <f>2</f>
        <v>2</v>
      </c>
      <c r="N84" s="93"/>
      <c r="O84" s="93"/>
      <c r="P84" s="93"/>
      <c r="Q84" s="93"/>
      <c r="R84" s="93"/>
      <c r="S84" s="93"/>
    </row>
    <row r="85" spans="2:19" s="77" customFormat="1" ht="13.35" customHeight="1" x14ac:dyDescent="0.2">
      <c r="B85" s="96" t="s">
        <v>353</v>
      </c>
      <c r="C85" s="103" t="s">
        <v>204</v>
      </c>
      <c r="D85" s="79">
        <f t="shared" si="5"/>
        <v>123</v>
      </c>
      <c r="E85" s="79">
        <v>105</v>
      </c>
      <c r="F85" s="79"/>
      <c r="G85" s="79"/>
      <c r="H85" s="79"/>
      <c r="I85" s="79">
        <v>18</v>
      </c>
      <c r="J85" s="79"/>
      <c r="K85" s="79"/>
      <c r="L85" s="87">
        <f>7</f>
        <v>7</v>
      </c>
      <c r="M85" s="87">
        <f>5</f>
        <v>5</v>
      </c>
      <c r="N85" s="87">
        <f>2</f>
        <v>2</v>
      </c>
      <c r="O85" s="87"/>
      <c r="P85" s="87"/>
      <c r="Q85" s="87"/>
      <c r="R85" s="87">
        <f>3</f>
        <v>3</v>
      </c>
      <c r="S85" s="91"/>
    </row>
    <row r="86" spans="2:19" s="77" customFormat="1" ht="13.35" customHeight="1" x14ac:dyDescent="0.2">
      <c r="B86" s="96" t="s">
        <v>354</v>
      </c>
      <c r="C86" s="103" t="s">
        <v>206</v>
      </c>
      <c r="D86" s="79">
        <f t="shared" si="5"/>
        <v>12</v>
      </c>
      <c r="E86" s="79"/>
      <c r="F86" s="79"/>
      <c r="G86" s="79"/>
      <c r="H86" s="79"/>
      <c r="I86" s="79">
        <v>12</v>
      </c>
      <c r="J86" s="79"/>
      <c r="K86" s="79"/>
      <c r="L86" s="87"/>
      <c r="M86" s="87">
        <v>1</v>
      </c>
      <c r="N86" s="87"/>
      <c r="O86" s="87"/>
      <c r="P86" s="87"/>
      <c r="Q86" s="87"/>
      <c r="R86" s="87"/>
      <c r="S86" s="87"/>
    </row>
    <row r="87" spans="2:19" s="77" customFormat="1" ht="13.35" customHeight="1" x14ac:dyDescent="0.2">
      <c r="B87" s="96" t="s">
        <v>355</v>
      </c>
      <c r="C87" s="103" t="s">
        <v>208</v>
      </c>
      <c r="D87" s="80">
        <f t="shared" si="5"/>
        <v>0</v>
      </c>
      <c r="E87" s="80"/>
      <c r="F87" s="80"/>
      <c r="G87" s="80"/>
      <c r="H87" s="80"/>
      <c r="I87" s="95"/>
      <c r="J87" s="79"/>
      <c r="K87" s="80"/>
      <c r="L87" s="93"/>
      <c r="M87" s="93"/>
      <c r="N87" s="93"/>
      <c r="O87" s="93"/>
      <c r="P87" s="93"/>
      <c r="Q87" s="93"/>
      <c r="R87" s="93"/>
      <c r="S87" s="93"/>
    </row>
    <row r="88" spans="2:19" s="77" customFormat="1" ht="13.35" customHeight="1" x14ac:dyDescent="0.2">
      <c r="B88" s="96" t="s">
        <v>356</v>
      </c>
      <c r="C88" s="103" t="s">
        <v>210</v>
      </c>
      <c r="D88" s="80">
        <f t="shared" si="5"/>
        <v>0</v>
      </c>
      <c r="E88" s="80"/>
      <c r="F88" s="80"/>
      <c r="G88" s="80"/>
      <c r="H88" s="80"/>
      <c r="I88" s="95"/>
      <c r="J88" s="79"/>
      <c r="K88" s="80"/>
      <c r="L88" s="93"/>
      <c r="M88" s="93"/>
      <c r="N88" s="93"/>
      <c r="O88" s="93"/>
      <c r="P88" s="93"/>
      <c r="Q88" s="93"/>
      <c r="R88" s="93"/>
      <c r="S88" s="93"/>
    </row>
    <row r="89" spans="2:19" s="77" customFormat="1" ht="13.35" customHeight="1" x14ac:dyDescent="0.2">
      <c r="B89" s="96" t="s">
        <v>357</v>
      </c>
      <c r="C89" s="103" t="s">
        <v>213</v>
      </c>
      <c r="D89" s="79">
        <f t="shared" si="5"/>
        <v>271</v>
      </c>
      <c r="E89" s="79">
        <v>185</v>
      </c>
      <c r="F89" s="79"/>
      <c r="G89" s="79"/>
      <c r="H89" s="79"/>
      <c r="I89" s="79">
        <f>86</f>
        <v>86</v>
      </c>
      <c r="J89" s="79"/>
      <c r="K89" s="79"/>
      <c r="L89" s="87">
        <f>25+17</f>
        <v>42</v>
      </c>
      <c r="M89" s="87">
        <f>6+3</f>
        <v>9</v>
      </c>
      <c r="N89" s="87">
        <f>2</f>
        <v>2</v>
      </c>
      <c r="O89" s="87"/>
      <c r="P89" s="87"/>
      <c r="Q89" s="87"/>
      <c r="R89" s="87">
        <f>2+4+2</f>
        <v>8</v>
      </c>
      <c r="S89" s="87">
        <v>2</v>
      </c>
    </row>
    <row r="90" spans="2:19" s="77" customFormat="1" ht="13.35" customHeight="1" x14ac:dyDescent="0.2">
      <c r="B90" s="96" t="s">
        <v>358</v>
      </c>
      <c r="C90" s="103" t="s">
        <v>214</v>
      </c>
      <c r="D90" s="79">
        <f t="shared" si="5"/>
        <v>12</v>
      </c>
      <c r="E90" s="79"/>
      <c r="F90" s="79"/>
      <c r="G90" s="79"/>
      <c r="H90" s="79"/>
      <c r="I90" s="79">
        <v>12</v>
      </c>
      <c r="J90" s="79"/>
      <c r="K90" s="79"/>
      <c r="L90" s="87">
        <v>4</v>
      </c>
      <c r="M90" s="87">
        <v>1</v>
      </c>
      <c r="N90" s="101"/>
      <c r="O90" s="101"/>
      <c r="P90" s="93"/>
      <c r="Q90" s="93"/>
      <c r="R90" s="93"/>
      <c r="S90" s="93"/>
    </row>
    <row r="91" spans="2:19" s="77" customFormat="1" ht="11.25" customHeight="1" x14ac:dyDescent="0.2">
      <c r="B91" s="96" t="s">
        <v>359</v>
      </c>
      <c r="C91" s="103" t="s">
        <v>360</v>
      </c>
      <c r="D91" s="80">
        <f t="shared" si="5"/>
        <v>0</v>
      </c>
      <c r="E91" s="80"/>
      <c r="F91" s="80"/>
      <c r="G91" s="80"/>
      <c r="H91" s="80"/>
      <c r="I91" s="80"/>
      <c r="J91" s="79"/>
      <c r="K91" s="80"/>
      <c r="L91" s="93"/>
      <c r="M91" s="93"/>
      <c r="N91" s="93"/>
      <c r="O91" s="93"/>
      <c r="P91" s="93"/>
      <c r="Q91" s="93"/>
      <c r="R91" s="93"/>
      <c r="S91" s="93"/>
    </row>
    <row r="92" spans="2:19" s="77" customFormat="1" ht="10.5" customHeight="1" x14ac:dyDescent="0.2">
      <c r="B92" s="96" t="s">
        <v>361</v>
      </c>
      <c r="C92" s="103" t="s">
        <v>362</v>
      </c>
      <c r="D92" s="80">
        <f t="shared" si="5"/>
        <v>0</v>
      </c>
      <c r="E92" s="80"/>
      <c r="F92" s="80"/>
      <c r="G92" s="80"/>
      <c r="H92" s="80"/>
      <c r="I92" s="80"/>
      <c r="J92" s="79"/>
      <c r="K92" s="80"/>
      <c r="L92" s="93"/>
      <c r="M92" s="93"/>
      <c r="N92" s="93"/>
      <c r="O92" s="93"/>
      <c r="P92" s="93"/>
      <c r="Q92" s="93"/>
      <c r="R92" s="93"/>
      <c r="S92" s="93"/>
    </row>
    <row r="93" spans="2:19" s="77" customFormat="1" ht="13.35" customHeight="1" x14ac:dyDescent="0.2">
      <c r="B93" s="96" t="s">
        <v>363</v>
      </c>
      <c r="C93" s="103" t="s">
        <v>364</v>
      </c>
      <c r="D93" s="80">
        <f t="shared" si="5"/>
        <v>0</v>
      </c>
      <c r="E93" s="80"/>
      <c r="F93" s="80"/>
      <c r="G93" s="80"/>
      <c r="H93" s="80"/>
      <c r="I93" s="80"/>
      <c r="J93" s="79"/>
      <c r="K93" s="80"/>
      <c r="L93" s="93"/>
      <c r="M93" s="93"/>
      <c r="N93" s="93"/>
      <c r="O93" s="93"/>
      <c r="P93" s="93"/>
      <c r="Q93" s="93"/>
      <c r="R93" s="93"/>
      <c r="S93" s="93"/>
    </row>
    <row r="94" spans="2:19" s="77" customFormat="1" ht="13.35" customHeight="1" x14ac:dyDescent="0.2">
      <c r="B94" s="96" t="s">
        <v>365</v>
      </c>
      <c r="C94" s="103" t="s">
        <v>366</v>
      </c>
      <c r="D94" s="79">
        <f t="shared" si="5"/>
        <v>54</v>
      </c>
      <c r="E94" s="79"/>
      <c r="F94" s="79"/>
      <c r="G94" s="79"/>
      <c r="H94" s="79"/>
      <c r="I94" s="79">
        <v>54</v>
      </c>
      <c r="J94" s="79"/>
      <c r="K94" s="79"/>
      <c r="L94" s="87">
        <v>12</v>
      </c>
      <c r="M94" s="87">
        <v>1</v>
      </c>
      <c r="N94" s="87"/>
      <c r="O94" s="87"/>
      <c r="P94" s="87"/>
      <c r="Q94" s="87"/>
      <c r="R94" s="87"/>
      <c r="S94" s="93"/>
    </row>
    <row r="95" spans="2:19" s="77" customFormat="1" ht="13.35" customHeight="1" x14ac:dyDescent="0.2">
      <c r="B95" s="96" t="s">
        <v>367</v>
      </c>
      <c r="C95" s="103" t="s">
        <v>368</v>
      </c>
      <c r="D95" s="80">
        <f t="shared" si="5"/>
        <v>0</v>
      </c>
      <c r="E95" s="80"/>
      <c r="F95" s="80"/>
      <c r="G95" s="80"/>
      <c r="H95" s="80"/>
      <c r="I95" s="95"/>
      <c r="J95" s="79"/>
      <c r="K95" s="95"/>
      <c r="L95" s="104"/>
      <c r="M95" s="104"/>
      <c r="N95" s="93"/>
      <c r="O95" s="93"/>
      <c r="P95" s="93"/>
      <c r="Q95" s="93"/>
      <c r="R95" s="93"/>
      <c r="S95" s="93"/>
    </row>
    <row r="96" spans="2:19" s="77" customFormat="1" ht="13.35" customHeight="1" x14ac:dyDescent="0.2">
      <c r="B96" s="96" t="s">
        <v>369</v>
      </c>
      <c r="C96" s="103" t="s">
        <v>370</v>
      </c>
      <c r="D96" s="80">
        <f t="shared" si="5"/>
        <v>0</v>
      </c>
      <c r="E96" s="80"/>
      <c r="F96" s="80"/>
      <c r="G96" s="80"/>
      <c r="H96" s="80"/>
      <c r="I96" s="95"/>
      <c r="J96" s="79"/>
      <c r="K96" s="95"/>
      <c r="L96" s="104"/>
      <c r="M96" s="104"/>
      <c r="N96" s="93"/>
      <c r="O96" s="93"/>
      <c r="P96" s="93"/>
      <c r="Q96" s="93"/>
      <c r="R96" s="93"/>
      <c r="S96" s="93"/>
    </row>
    <row r="97" spans="2:19" s="77" customFormat="1" ht="13.35" customHeight="1" x14ac:dyDescent="0.2">
      <c r="B97" s="96" t="s">
        <v>371</v>
      </c>
      <c r="C97" s="103" t="s">
        <v>372</v>
      </c>
      <c r="D97" s="80">
        <f t="shared" si="5"/>
        <v>0</v>
      </c>
      <c r="E97" s="80"/>
      <c r="F97" s="80"/>
      <c r="G97" s="80"/>
      <c r="H97" s="80"/>
      <c r="I97" s="95"/>
      <c r="J97" s="79"/>
      <c r="K97" s="95"/>
      <c r="L97" s="104"/>
      <c r="M97" s="104"/>
      <c r="N97" s="93"/>
      <c r="O97" s="93"/>
      <c r="P97" s="93"/>
      <c r="Q97" s="93"/>
      <c r="R97" s="93"/>
      <c r="S97" s="93"/>
    </row>
    <row r="98" spans="2:19" s="77" customFormat="1" ht="12" customHeight="1" x14ac:dyDescent="0.2">
      <c r="B98" s="96" t="s">
        <v>373</v>
      </c>
      <c r="C98" s="103" t="s">
        <v>374</v>
      </c>
      <c r="D98" s="79">
        <f t="shared" si="5"/>
        <v>98</v>
      </c>
      <c r="E98" s="79">
        <v>12</v>
      </c>
      <c r="F98" s="79"/>
      <c r="G98" s="79"/>
      <c r="H98" s="79"/>
      <c r="I98" s="79">
        <v>76</v>
      </c>
      <c r="J98" s="79">
        <v>10</v>
      </c>
      <c r="K98" s="79"/>
      <c r="L98" s="87">
        <f>4</f>
        <v>4</v>
      </c>
      <c r="M98" s="87">
        <f>1+4+3</f>
        <v>8</v>
      </c>
      <c r="N98" s="87"/>
      <c r="O98" s="87"/>
      <c r="P98" s="87"/>
      <c r="Q98" s="87"/>
      <c r="R98" s="87">
        <f>1</f>
        <v>1</v>
      </c>
      <c r="S98" s="93"/>
    </row>
    <row r="99" spans="2:19" s="77" customFormat="1" ht="12" customHeight="1" x14ac:dyDescent="0.2">
      <c r="B99" s="96" t="s">
        <v>375</v>
      </c>
      <c r="C99" s="103" t="s">
        <v>376</v>
      </c>
      <c r="D99" s="80">
        <f t="shared" si="5"/>
        <v>0</v>
      </c>
      <c r="E99" s="80"/>
      <c r="F99" s="80"/>
      <c r="G99" s="80"/>
      <c r="H99" s="80"/>
      <c r="I99" s="80"/>
      <c r="J99" s="79"/>
      <c r="K99" s="80"/>
      <c r="L99" s="93"/>
      <c r="M99" s="93"/>
      <c r="N99" s="93"/>
      <c r="O99" s="93"/>
      <c r="P99" s="93"/>
      <c r="Q99" s="93"/>
      <c r="R99" s="93"/>
      <c r="S99" s="93"/>
    </row>
    <row r="100" spans="2:19" s="77" customFormat="1" ht="13.35" customHeight="1" x14ac:dyDescent="0.2">
      <c r="B100" s="96" t="s">
        <v>377</v>
      </c>
      <c r="C100" s="103" t="s">
        <v>378</v>
      </c>
      <c r="D100" s="80">
        <f t="shared" si="5"/>
        <v>0</v>
      </c>
      <c r="E100" s="80"/>
      <c r="F100" s="80"/>
      <c r="G100" s="80"/>
      <c r="H100" s="80"/>
      <c r="I100" s="80"/>
      <c r="J100" s="79"/>
      <c r="K100" s="80"/>
      <c r="L100" s="93"/>
      <c r="M100" s="93"/>
      <c r="N100" s="93"/>
      <c r="O100" s="93"/>
      <c r="P100" s="93"/>
      <c r="Q100" s="93"/>
      <c r="R100" s="93"/>
      <c r="S100" s="93"/>
    </row>
    <row r="101" spans="2:19" s="77" customFormat="1" ht="13.35" customHeight="1" x14ac:dyDescent="0.2">
      <c r="B101" s="96" t="s">
        <v>379</v>
      </c>
      <c r="C101" s="103" t="s">
        <v>380</v>
      </c>
      <c r="D101" s="80">
        <f t="shared" si="5"/>
        <v>0</v>
      </c>
      <c r="E101" s="80"/>
      <c r="F101" s="80"/>
      <c r="G101" s="80"/>
      <c r="H101" s="80"/>
      <c r="I101" s="95"/>
      <c r="J101" s="79"/>
      <c r="K101" s="80"/>
      <c r="L101" s="93"/>
      <c r="M101" s="93"/>
      <c r="N101" s="93"/>
      <c r="O101" s="93"/>
      <c r="P101" s="93"/>
      <c r="Q101" s="93"/>
      <c r="R101" s="93"/>
      <c r="S101" s="93"/>
    </row>
    <row r="102" spans="2:19" s="77" customFormat="1" ht="13.35" customHeight="1" x14ac:dyDescent="0.2">
      <c r="B102" s="96" t="s">
        <v>381</v>
      </c>
      <c r="C102" s="103" t="s">
        <v>382</v>
      </c>
      <c r="D102" s="79">
        <f t="shared" si="5"/>
        <v>242</v>
      </c>
      <c r="E102" s="80"/>
      <c r="F102" s="80"/>
      <c r="G102" s="80"/>
      <c r="H102" s="80"/>
      <c r="I102" s="79">
        <f>242</f>
        <v>242</v>
      </c>
      <c r="J102" s="79"/>
      <c r="K102" s="80"/>
      <c r="L102" s="87">
        <v>38</v>
      </c>
      <c r="M102" s="87">
        <v>4</v>
      </c>
      <c r="N102" s="93"/>
      <c r="O102" s="93"/>
      <c r="P102" s="93"/>
      <c r="Q102" s="93"/>
      <c r="R102" s="93"/>
      <c r="S102" s="93"/>
    </row>
    <row r="103" spans="2:19" s="77" customFormat="1" ht="13.35" customHeight="1" x14ac:dyDescent="0.2">
      <c r="B103" s="96" t="s">
        <v>383</v>
      </c>
      <c r="C103" s="103" t="s">
        <v>384</v>
      </c>
      <c r="D103" s="79">
        <f t="shared" si="5"/>
        <v>124</v>
      </c>
      <c r="E103" s="79"/>
      <c r="F103" s="79"/>
      <c r="G103" s="79"/>
      <c r="H103" s="79"/>
      <c r="I103" s="79">
        <v>112</v>
      </c>
      <c r="J103" s="79">
        <v>12</v>
      </c>
      <c r="K103" s="79"/>
      <c r="L103" s="87">
        <v>42</v>
      </c>
      <c r="M103" s="87">
        <v>6</v>
      </c>
      <c r="N103" s="87"/>
      <c r="O103" s="87"/>
      <c r="P103" s="87"/>
      <c r="Q103" s="87"/>
      <c r="R103" s="87"/>
      <c r="S103" s="87">
        <v>1</v>
      </c>
    </row>
    <row r="104" spans="2:19" s="77" customFormat="1" ht="13.35" customHeight="1" x14ac:dyDescent="0.2">
      <c r="B104" s="96" t="s">
        <v>385</v>
      </c>
      <c r="C104" s="103" t="s">
        <v>386</v>
      </c>
      <c r="D104" s="80">
        <f t="shared" si="5"/>
        <v>0</v>
      </c>
      <c r="E104" s="80"/>
      <c r="F104" s="80"/>
      <c r="G104" s="80"/>
      <c r="H104" s="80"/>
      <c r="I104" s="95"/>
      <c r="J104" s="79"/>
      <c r="K104" s="80"/>
      <c r="L104" s="93"/>
      <c r="M104" s="93"/>
      <c r="N104" s="93"/>
      <c r="O104" s="93"/>
      <c r="P104" s="93"/>
      <c r="Q104" s="93"/>
      <c r="R104" s="93"/>
      <c r="S104" s="93"/>
    </row>
    <row r="105" spans="2:19" s="77" customFormat="1" ht="13.35" customHeight="1" x14ac:dyDescent="0.2">
      <c r="B105" s="96" t="s">
        <v>387</v>
      </c>
      <c r="C105" s="103" t="s">
        <v>388</v>
      </c>
      <c r="D105" s="80">
        <f t="shared" si="5"/>
        <v>0</v>
      </c>
      <c r="E105" s="80"/>
      <c r="F105" s="80"/>
      <c r="G105" s="80"/>
      <c r="H105" s="80"/>
      <c r="I105" s="80"/>
      <c r="J105" s="79"/>
      <c r="K105" s="80"/>
      <c r="L105" s="93"/>
      <c r="M105" s="93"/>
      <c r="N105" s="93"/>
      <c r="O105" s="93"/>
      <c r="P105" s="93"/>
      <c r="Q105" s="93"/>
      <c r="R105" s="93"/>
      <c r="S105" s="93"/>
    </row>
    <row r="106" spans="2:19" s="77" customFormat="1" ht="13.35" customHeight="1" x14ac:dyDescent="0.2">
      <c r="B106" s="96" t="s">
        <v>389</v>
      </c>
      <c r="C106" s="103" t="s">
        <v>390</v>
      </c>
      <c r="D106" s="79">
        <f t="shared" si="5"/>
        <v>306</v>
      </c>
      <c r="E106" s="79">
        <v>136</v>
      </c>
      <c r="F106" s="79"/>
      <c r="G106" s="79"/>
      <c r="H106" s="79"/>
      <c r="I106" s="79">
        <v>170</v>
      </c>
      <c r="J106" s="79"/>
      <c r="K106" s="79"/>
      <c r="L106" s="87">
        <f>136+170</f>
        <v>306</v>
      </c>
      <c r="M106" s="87">
        <f>3+3</f>
        <v>6</v>
      </c>
      <c r="N106" s="87">
        <f>2</f>
        <v>2</v>
      </c>
      <c r="O106" s="87">
        <v>4</v>
      </c>
      <c r="P106" s="87"/>
      <c r="Q106" s="87"/>
      <c r="R106" s="87">
        <f>2+1+1</f>
        <v>4</v>
      </c>
      <c r="S106" s="87">
        <f>2+3</f>
        <v>5</v>
      </c>
    </row>
    <row r="107" spans="2:19" s="77" customFormat="1" ht="13.35" customHeight="1" x14ac:dyDescent="0.2">
      <c r="B107" s="96" t="s">
        <v>391</v>
      </c>
      <c r="C107" s="103" t="s">
        <v>392</v>
      </c>
      <c r="D107" s="79">
        <f t="shared" si="5"/>
        <v>92</v>
      </c>
      <c r="E107" s="79"/>
      <c r="F107" s="79"/>
      <c r="G107" s="79"/>
      <c r="H107" s="79"/>
      <c r="I107" s="79">
        <f>92</f>
        <v>92</v>
      </c>
      <c r="J107" s="79"/>
      <c r="K107" s="79"/>
      <c r="L107" s="87"/>
      <c r="M107" s="87">
        <v>2</v>
      </c>
      <c r="N107" s="87"/>
      <c r="O107" s="87"/>
      <c r="P107" s="87"/>
      <c r="Q107" s="87"/>
      <c r="R107" s="87">
        <v>2</v>
      </c>
      <c r="S107" s="87"/>
    </row>
    <row r="108" spans="2:19" s="77" customFormat="1" ht="13.35" customHeight="1" x14ac:dyDescent="0.2">
      <c r="B108" s="96" t="s">
        <v>393</v>
      </c>
      <c r="C108" s="103" t="s">
        <v>394</v>
      </c>
      <c r="D108" s="80">
        <f t="shared" si="5"/>
        <v>0</v>
      </c>
      <c r="E108" s="80"/>
      <c r="F108" s="80"/>
      <c r="G108" s="80"/>
      <c r="H108" s="80"/>
      <c r="I108" s="80"/>
      <c r="J108" s="79"/>
      <c r="K108" s="80"/>
      <c r="L108" s="93"/>
      <c r="M108" s="93"/>
      <c r="N108" s="93"/>
      <c r="O108" s="93"/>
      <c r="P108" s="93"/>
      <c r="Q108" s="93"/>
      <c r="R108" s="93"/>
      <c r="S108" s="93"/>
    </row>
    <row r="109" spans="2:19" s="77" customFormat="1" ht="13.35" customHeight="1" x14ac:dyDescent="0.2">
      <c r="B109" s="96" t="s">
        <v>395</v>
      </c>
      <c r="C109" s="103" t="s">
        <v>396</v>
      </c>
      <c r="D109" s="79">
        <f t="shared" si="5"/>
        <v>116</v>
      </c>
      <c r="E109" s="79">
        <v>92</v>
      </c>
      <c r="F109" s="79"/>
      <c r="G109" s="79"/>
      <c r="H109" s="79"/>
      <c r="I109" s="79">
        <v>24</v>
      </c>
      <c r="J109" s="79"/>
      <c r="K109" s="79"/>
      <c r="L109" s="87">
        <f>13+6</f>
        <v>19</v>
      </c>
      <c r="M109" s="87">
        <f>2+1</f>
        <v>3</v>
      </c>
      <c r="N109" s="87">
        <f>2</f>
        <v>2</v>
      </c>
      <c r="O109" s="87"/>
      <c r="P109" s="87"/>
      <c r="Q109" s="87"/>
      <c r="R109" s="87">
        <f>3</f>
        <v>3</v>
      </c>
      <c r="S109" s="87"/>
    </row>
    <row r="110" spans="2:19" s="77" customFormat="1" ht="11.25" customHeight="1" x14ac:dyDescent="0.2">
      <c r="B110" s="96" t="s">
        <v>397</v>
      </c>
      <c r="C110" s="103" t="s">
        <v>398</v>
      </c>
      <c r="D110" s="80">
        <f t="shared" si="5"/>
        <v>0</v>
      </c>
      <c r="E110" s="80"/>
      <c r="F110" s="80"/>
      <c r="G110" s="80"/>
      <c r="H110" s="80"/>
      <c r="I110" s="80"/>
      <c r="J110" s="79"/>
      <c r="K110" s="80"/>
      <c r="L110" s="93"/>
      <c r="M110" s="93"/>
      <c r="N110" s="93"/>
      <c r="O110" s="93"/>
      <c r="P110" s="93"/>
      <c r="Q110" s="93"/>
      <c r="R110" s="93"/>
      <c r="S110" s="93"/>
    </row>
    <row r="111" spans="2:19" s="77" customFormat="1" ht="13.35" customHeight="1" x14ac:dyDescent="0.2">
      <c r="B111" s="96" t="s">
        <v>399</v>
      </c>
      <c r="C111" s="103" t="s">
        <v>400</v>
      </c>
      <c r="D111" s="80">
        <f t="shared" si="5"/>
        <v>0</v>
      </c>
      <c r="E111" s="80"/>
      <c r="F111" s="80"/>
      <c r="G111" s="80"/>
      <c r="H111" s="80"/>
      <c r="I111" s="80"/>
      <c r="J111" s="79"/>
      <c r="K111" s="80"/>
      <c r="L111" s="93"/>
      <c r="M111" s="93"/>
      <c r="N111" s="93"/>
      <c r="O111" s="93"/>
      <c r="P111" s="93"/>
      <c r="Q111" s="93"/>
      <c r="R111" s="93"/>
      <c r="S111" s="93"/>
    </row>
    <row r="112" spans="2:19" s="77" customFormat="1" ht="13.35" customHeight="1" x14ac:dyDescent="0.2">
      <c r="B112" s="96" t="s">
        <v>401</v>
      </c>
      <c r="C112" s="103" t="s">
        <v>402</v>
      </c>
      <c r="D112" s="79">
        <f t="shared" si="5"/>
        <v>24</v>
      </c>
      <c r="E112" s="100"/>
      <c r="F112" s="100"/>
      <c r="G112" s="100"/>
      <c r="H112" s="100"/>
      <c r="I112" s="79">
        <v>24</v>
      </c>
      <c r="J112" s="79"/>
      <c r="K112" s="79"/>
      <c r="L112" s="87"/>
      <c r="M112" s="87">
        <v>1</v>
      </c>
      <c r="N112" s="101"/>
      <c r="O112" s="101"/>
      <c r="P112" s="101"/>
      <c r="Q112" s="101"/>
      <c r="R112" s="101"/>
      <c r="S112" s="101"/>
    </row>
    <row r="113" spans="2:19" s="77" customFormat="1" ht="13.35" customHeight="1" x14ac:dyDescent="0.2">
      <c r="B113" s="96" t="s">
        <v>403</v>
      </c>
      <c r="C113" s="103" t="s">
        <v>404</v>
      </c>
      <c r="D113" s="79">
        <f t="shared" si="5"/>
        <v>320</v>
      </c>
      <c r="E113" s="79">
        <v>236</v>
      </c>
      <c r="F113" s="79"/>
      <c r="G113" s="79"/>
      <c r="H113" s="79"/>
      <c r="I113" s="79">
        <v>84</v>
      </c>
      <c r="J113" s="79"/>
      <c r="K113" s="79"/>
      <c r="L113" s="87">
        <f>38+13</f>
        <v>51</v>
      </c>
      <c r="M113" s="87">
        <f>14+2</f>
        <v>16</v>
      </c>
      <c r="N113" s="87">
        <f>4</f>
        <v>4</v>
      </c>
      <c r="O113" s="87"/>
      <c r="P113" s="87"/>
      <c r="Q113" s="87"/>
      <c r="R113" s="87">
        <f>4+10</f>
        <v>14</v>
      </c>
      <c r="S113" s="87"/>
    </row>
    <row r="114" spans="2:19" s="77" customFormat="1" ht="13.35" customHeight="1" x14ac:dyDescent="0.2">
      <c r="B114" s="96" t="s">
        <v>405</v>
      </c>
      <c r="C114" s="103" t="s">
        <v>406</v>
      </c>
      <c r="D114" s="80">
        <f t="shared" si="5"/>
        <v>0</v>
      </c>
      <c r="E114" s="80"/>
      <c r="F114" s="80"/>
      <c r="G114" s="80"/>
      <c r="H114" s="80"/>
      <c r="I114" s="80"/>
      <c r="J114" s="79"/>
      <c r="K114" s="80"/>
      <c r="L114" s="93"/>
      <c r="M114" s="93"/>
      <c r="N114" s="93"/>
      <c r="O114" s="93"/>
      <c r="P114" s="93"/>
      <c r="Q114" s="93"/>
      <c r="R114" s="93"/>
      <c r="S114" s="93"/>
    </row>
    <row r="115" spans="2:19" s="77" customFormat="1" ht="14.45" customHeight="1" x14ac:dyDescent="0.2">
      <c r="B115" s="96" t="s">
        <v>407</v>
      </c>
      <c r="C115" s="103" t="s">
        <v>408</v>
      </c>
      <c r="D115" s="79">
        <f t="shared" si="5"/>
        <v>28</v>
      </c>
      <c r="E115" s="79"/>
      <c r="F115" s="79"/>
      <c r="G115" s="79"/>
      <c r="H115" s="79"/>
      <c r="I115" s="79">
        <v>28</v>
      </c>
      <c r="J115" s="79"/>
      <c r="K115" s="79"/>
      <c r="L115" s="87"/>
      <c r="M115" s="87">
        <v>1</v>
      </c>
      <c r="N115" s="87"/>
      <c r="O115" s="87"/>
      <c r="P115" s="87"/>
      <c r="Q115" s="87"/>
      <c r="R115" s="87"/>
      <c r="S115" s="87"/>
    </row>
    <row r="116" spans="2:19" s="77" customFormat="1" ht="14.1" customHeight="1" x14ac:dyDescent="0.2">
      <c r="B116" s="96" t="s">
        <v>409</v>
      </c>
      <c r="C116" s="103" t="s">
        <v>410</v>
      </c>
      <c r="D116" s="79">
        <f t="shared" si="5"/>
        <v>206</v>
      </c>
      <c r="E116" s="79"/>
      <c r="F116" s="79"/>
      <c r="G116" s="79"/>
      <c r="H116" s="79"/>
      <c r="I116" s="79">
        <f>206</f>
        <v>206</v>
      </c>
      <c r="J116" s="79"/>
      <c r="K116" s="79"/>
      <c r="L116" s="87">
        <v>34</v>
      </c>
      <c r="M116" s="87">
        <v>3</v>
      </c>
      <c r="N116" s="87"/>
      <c r="O116" s="87"/>
      <c r="P116" s="87"/>
      <c r="Q116" s="87"/>
      <c r="R116" s="87">
        <v>3</v>
      </c>
      <c r="S116" s="87"/>
    </row>
    <row r="117" spans="2:19" s="77" customFormat="1" ht="14.1" customHeight="1" x14ac:dyDescent="0.2">
      <c r="B117" s="96" t="s">
        <v>411</v>
      </c>
      <c r="C117" s="103" t="s">
        <v>412</v>
      </c>
      <c r="D117" s="80">
        <f t="shared" si="5"/>
        <v>0</v>
      </c>
      <c r="E117" s="80"/>
      <c r="F117" s="80"/>
      <c r="G117" s="80"/>
      <c r="H117" s="80"/>
      <c r="I117" s="80"/>
      <c r="J117" s="79"/>
      <c r="K117" s="80"/>
      <c r="L117" s="93"/>
      <c r="M117" s="93"/>
      <c r="N117" s="93"/>
      <c r="O117" s="93"/>
      <c r="P117" s="93"/>
      <c r="Q117" s="93"/>
      <c r="R117" s="93"/>
      <c r="S117" s="93"/>
    </row>
    <row r="118" spans="2:19" s="77" customFormat="1" ht="14.45" customHeight="1" x14ac:dyDescent="0.2">
      <c r="B118" s="96" t="s">
        <v>413</v>
      </c>
      <c r="C118" s="103" t="s">
        <v>414</v>
      </c>
      <c r="D118" s="64">
        <f t="shared" si="5"/>
        <v>35</v>
      </c>
      <c r="E118" s="47"/>
      <c r="F118" s="47"/>
      <c r="G118" s="47"/>
      <c r="H118" s="47"/>
      <c r="I118" s="47"/>
      <c r="J118" s="79">
        <v>35</v>
      </c>
      <c r="K118" s="47"/>
      <c r="L118" s="65">
        <v>7</v>
      </c>
      <c r="M118" s="65">
        <v>1</v>
      </c>
      <c r="N118" s="65"/>
      <c r="O118" s="65"/>
      <c r="P118" s="65"/>
      <c r="Q118" s="65"/>
      <c r="R118" s="65">
        <v>1</v>
      </c>
      <c r="S118" s="65"/>
    </row>
    <row r="119" spans="2:19" s="77" customFormat="1" ht="11.25" customHeight="1" x14ac:dyDescent="0.2">
      <c r="B119" s="96" t="s">
        <v>415</v>
      </c>
      <c r="C119" s="103" t="s">
        <v>416</v>
      </c>
      <c r="D119" s="80">
        <f t="shared" si="5"/>
        <v>0</v>
      </c>
      <c r="E119" s="80"/>
      <c r="F119" s="80"/>
      <c r="G119" s="80"/>
      <c r="H119" s="80"/>
      <c r="I119" s="80"/>
      <c r="J119" s="79"/>
      <c r="K119" s="80"/>
      <c r="L119" s="93"/>
      <c r="M119" s="93"/>
      <c r="N119" s="93"/>
      <c r="O119" s="93"/>
      <c r="P119" s="93"/>
      <c r="Q119" s="93"/>
      <c r="R119" s="93"/>
      <c r="S119" s="93"/>
    </row>
    <row r="120" spans="2:19" s="77" customFormat="1" ht="12" customHeight="1" x14ac:dyDescent="0.2">
      <c r="B120" s="96" t="s">
        <v>417</v>
      </c>
      <c r="C120" s="103" t="s">
        <v>418</v>
      </c>
      <c r="D120" s="64">
        <f t="shared" si="5"/>
        <v>196</v>
      </c>
      <c r="E120" s="47"/>
      <c r="F120" s="47"/>
      <c r="G120" s="47"/>
      <c r="H120" s="47"/>
      <c r="I120" s="79">
        <f>136</f>
        <v>136</v>
      </c>
      <c r="J120" s="79">
        <v>60</v>
      </c>
      <c r="K120" s="47"/>
      <c r="L120" s="65">
        <v>37</v>
      </c>
      <c r="M120" s="65">
        <f>3+1</f>
        <v>4</v>
      </c>
      <c r="N120" s="65"/>
      <c r="O120" s="65">
        <v>3</v>
      </c>
      <c r="P120" s="65"/>
      <c r="Q120" s="65"/>
      <c r="R120" s="65">
        <v>2</v>
      </c>
      <c r="S120" s="65">
        <v>1</v>
      </c>
    </row>
    <row r="121" spans="2:19" s="77" customFormat="1" ht="13.35" customHeight="1" x14ac:dyDescent="0.2">
      <c r="B121" s="96" t="s">
        <v>419</v>
      </c>
      <c r="C121" s="103" t="s">
        <v>420</v>
      </c>
      <c r="D121" s="80">
        <f t="shared" si="5"/>
        <v>0</v>
      </c>
      <c r="E121" s="80"/>
      <c r="F121" s="80"/>
      <c r="G121" s="80"/>
      <c r="H121" s="80"/>
      <c r="I121" s="80"/>
      <c r="J121" s="79"/>
      <c r="K121" s="80"/>
      <c r="L121" s="93"/>
      <c r="M121" s="93"/>
      <c r="N121" s="93"/>
      <c r="O121" s="93"/>
      <c r="P121" s="93"/>
      <c r="Q121" s="93"/>
      <c r="R121" s="93"/>
      <c r="S121" s="93"/>
    </row>
    <row r="122" spans="2:19" s="77" customFormat="1" ht="12.75" customHeight="1" x14ac:dyDescent="0.2">
      <c r="B122" s="96" t="s">
        <v>421</v>
      </c>
      <c r="C122" s="103" t="s">
        <v>422</v>
      </c>
      <c r="D122" s="80">
        <f t="shared" si="5"/>
        <v>0</v>
      </c>
      <c r="E122" s="80"/>
      <c r="F122" s="80"/>
      <c r="G122" s="80"/>
      <c r="H122" s="80"/>
      <c r="I122" s="80"/>
      <c r="J122" s="79"/>
      <c r="K122" s="80"/>
      <c r="L122" s="93"/>
      <c r="M122" s="93"/>
      <c r="N122" s="93"/>
      <c r="O122" s="93"/>
      <c r="P122" s="93"/>
      <c r="Q122" s="93"/>
      <c r="R122" s="93"/>
      <c r="S122" s="93"/>
    </row>
    <row r="123" spans="2:19" s="77" customFormat="1" ht="11.25" customHeight="1" x14ac:dyDescent="0.2">
      <c r="B123" s="96" t="s">
        <v>423</v>
      </c>
      <c r="C123" s="103" t="s">
        <v>424</v>
      </c>
      <c r="D123" s="79">
        <f t="shared" si="5"/>
        <v>39</v>
      </c>
      <c r="E123" s="79"/>
      <c r="F123" s="79"/>
      <c r="G123" s="79"/>
      <c r="H123" s="79"/>
      <c r="I123" s="79">
        <v>39</v>
      </c>
      <c r="J123" s="79"/>
      <c r="K123" s="79"/>
      <c r="L123" s="87"/>
      <c r="M123" s="87">
        <v>1</v>
      </c>
      <c r="N123" s="101"/>
      <c r="O123" s="101"/>
      <c r="P123" s="101"/>
      <c r="Q123" s="101"/>
      <c r="R123" s="101"/>
      <c r="S123" s="87"/>
    </row>
    <row r="124" spans="2:19" s="77" customFormat="1" ht="11.25" customHeight="1" x14ac:dyDescent="0.2">
      <c r="B124" s="96" t="s">
        <v>425</v>
      </c>
      <c r="C124" s="103" t="s">
        <v>426</v>
      </c>
      <c r="D124" s="80">
        <f t="shared" si="5"/>
        <v>0</v>
      </c>
      <c r="E124" s="80"/>
      <c r="F124" s="80"/>
      <c r="G124" s="80"/>
      <c r="H124" s="80"/>
      <c r="I124" s="95"/>
      <c r="J124" s="79"/>
      <c r="K124" s="95"/>
      <c r="L124" s="104"/>
      <c r="M124" s="104"/>
      <c r="N124" s="104"/>
      <c r="O124" s="104"/>
      <c r="P124" s="104"/>
      <c r="Q124" s="104"/>
      <c r="R124" s="104"/>
      <c r="S124" s="93"/>
    </row>
    <row r="125" spans="2:19" s="77" customFormat="1" ht="13.35" customHeight="1" x14ac:dyDescent="0.2">
      <c r="B125" s="105" t="s">
        <v>427</v>
      </c>
      <c r="C125" s="103" t="s">
        <v>428</v>
      </c>
      <c r="D125" s="80">
        <f t="shared" si="5"/>
        <v>0</v>
      </c>
      <c r="E125" s="80"/>
      <c r="F125" s="80"/>
      <c r="G125" s="80"/>
      <c r="H125" s="80"/>
      <c r="I125" s="95"/>
      <c r="J125" s="79"/>
      <c r="K125" s="95"/>
      <c r="L125" s="104"/>
      <c r="M125" s="104"/>
      <c r="N125" s="104"/>
      <c r="O125" s="104"/>
      <c r="P125" s="104"/>
      <c r="Q125" s="104"/>
      <c r="R125" s="104"/>
      <c r="S125" s="93"/>
    </row>
    <row r="126" spans="2:19" ht="12" customHeight="1" x14ac:dyDescent="0.2">
      <c r="B126" s="106" t="s">
        <v>429</v>
      </c>
      <c r="C126" s="103" t="s">
        <v>430</v>
      </c>
      <c r="D126" s="80">
        <f t="shared" si="5"/>
        <v>0</v>
      </c>
      <c r="E126" s="93"/>
      <c r="F126" s="93"/>
      <c r="G126" s="93"/>
      <c r="H126" s="93"/>
      <c r="I126" s="104"/>
      <c r="J126" s="79"/>
      <c r="K126" s="104"/>
      <c r="L126" s="104"/>
      <c r="M126" s="95"/>
      <c r="N126" s="95"/>
      <c r="O126" s="95"/>
      <c r="P126" s="95"/>
      <c r="Q126" s="95"/>
      <c r="R126" s="95"/>
      <c r="S126" s="80"/>
    </row>
    <row r="127" spans="2:19" s="77" customFormat="1" ht="13.5" customHeight="1" x14ac:dyDescent="0.2">
      <c r="B127" s="96" t="s">
        <v>431</v>
      </c>
      <c r="C127" s="103" t="s">
        <v>432</v>
      </c>
      <c r="D127" s="80">
        <f t="shared" si="5"/>
        <v>0</v>
      </c>
      <c r="E127" s="80"/>
      <c r="F127" s="80"/>
      <c r="G127" s="80"/>
      <c r="H127" s="80"/>
      <c r="I127" s="95"/>
      <c r="J127" s="79"/>
      <c r="K127" s="95"/>
      <c r="L127" s="104"/>
      <c r="M127" s="104"/>
      <c r="N127" s="104"/>
      <c r="O127" s="104"/>
      <c r="P127" s="104"/>
      <c r="Q127" s="104"/>
      <c r="R127" s="104"/>
      <c r="S127" s="93"/>
    </row>
    <row r="128" spans="2:19" s="77" customFormat="1" ht="13.5" customHeight="1" x14ac:dyDescent="0.2">
      <c r="B128" s="96" t="s">
        <v>433</v>
      </c>
      <c r="C128" s="103" t="s">
        <v>434</v>
      </c>
      <c r="D128" s="80">
        <f t="shared" si="5"/>
        <v>0</v>
      </c>
      <c r="E128" s="80"/>
      <c r="F128" s="80"/>
      <c r="G128" s="80"/>
      <c r="H128" s="80"/>
      <c r="I128" s="95"/>
      <c r="J128" s="79"/>
      <c r="K128" s="95"/>
      <c r="L128" s="104"/>
      <c r="M128" s="104"/>
      <c r="N128" s="104"/>
      <c r="O128" s="104"/>
      <c r="P128" s="104"/>
      <c r="Q128" s="104"/>
      <c r="R128" s="104"/>
      <c r="S128" s="93"/>
    </row>
    <row r="129" spans="2:19" s="77" customFormat="1" ht="13.5" customHeight="1" x14ac:dyDescent="0.2">
      <c r="B129" s="96" t="s">
        <v>435</v>
      </c>
      <c r="C129" s="103" t="s">
        <v>436</v>
      </c>
      <c r="D129" s="79">
        <f t="shared" si="5"/>
        <v>20</v>
      </c>
      <c r="E129" s="79"/>
      <c r="F129" s="79"/>
      <c r="G129" s="79"/>
      <c r="H129" s="79"/>
      <c r="I129" s="79">
        <f>20</f>
        <v>20</v>
      </c>
      <c r="J129" s="79"/>
      <c r="K129" s="79"/>
      <c r="L129" s="87"/>
      <c r="M129" s="87">
        <v>2</v>
      </c>
      <c r="N129" s="87"/>
      <c r="O129" s="87"/>
      <c r="P129" s="87"/>
      <c r="Q129" s="87"/>
      <c r="R129" s="87"/>
      <c r="S129" s="87"/>
    </row>
    <row r="130" spans="2:19" s="77" customFormat="1" ht="13.5" customHeight="1" x14ac:dyDescent="0.2">
      <c r="B130" s="96" t="s">
        <v>437</v>
      </c>
      <c r="C130" s="103" t="s">
        <v>438</v>
      </c>
      <c r="D130" s="80">
        <f t="shared" si="5"/>
        <v>0</v>
      </c>
      <c r="E130" s="80"/>
      <c r="F130" s="80"/>
      <c r="G130" s="80"/>
      <c r="H130" s="80"/>
      <c r="I130" s="80"/>
      <c r="J130" s="79"/>
      <c r="K130" s="80"/>
      <c r="L130" s="93"/>
      <c r="M130" s="93"/>
      <c r="N130" s="93"/>
      <c r="O130" s="93"/>
      <c r="P130" s="93"/>
      <c r="Q130" s="93"/>
      <c r="R130" s="93"/>
      <c r="S130" s="93"/>
    </row>
    <row r="131" spans="2:19" s="77" customFormat="1" ht="13.5" customHeight="1" x14ac:dyDescent="0.2">
      <c r="B131" s="106" t="s">
        <v>439</v>
      </c>
      <c r="C131" s="103" t="s">
        <v>440</v>
      </c>
      <c r="D131" s="79">
        <f t="shared" si="5"/>
        <v>382</v>
      </c>
      <c r="E131" s="79">
        <v>122</v>
      </c>
      <c r="F131" s="79"/>
      <c r="G131" s="79"/>
      <c r="H131" s="79"/>
      <c r="I131" s="79">
        <v>260</v>
      </c>
      <c r="J131" s="79"/>
      <c r="K131" s="79"/>
      <c r="L131" s="87">
        <f>17+10</f>
        <v>27</v>
      </c>
      <c r="M131" s="87">
        <f>3+4</f>
        <v>7</v>
      </c>
      <c r="N131" s="87">
        <f>2</f>
        <v>2</v>
      </c>
      <c r="O131" s="87"/>
      <c r="P131" s="87"/>
      <c r="Q131" s="87"/>
      <c r="R131" s="87">
        <f>2+1+4</f>
        <v>7</v>
      </c>
      <c r="S131" s="87"/>
    </row>
    <row r="132" spans="2:19" s="77" customFormat="1" ht="13.5" customHeight="1" x14ac:dyDescent="0.2">
      <c r="B132" s="96" t="s">
        <v>441</v>
      </c>
      <c r="C132" s="103" t="s">
        <v>442</v>
      </c>
      <c r="D132" s="80">
        <f t="shared" si="5"/>
        <v>0</v>
      </c>
      <c r="E132" s="80"/>
      <c r="F132" s="80"/>
      <c r="G132" s="80"/>
      <c r="H132" s="80"/>
      <c r="I132" s="80"/>
      <c r="J132" s="79"/>
      <c r="K132" s="80"/>
      <c r="L132" s="93"/>
      <c r="M132" s="93"/>
      <c r="N132" s="93"/>
      <c r="O132" s="93"/>
      <c r="P132" s="93"/>
      <c r="Q132" s="93"/>
      <c r="R132" s="93"/>
      <c r="S132" s="93"/>
    </row>
    <row r="133" spans="2:19" s="77" customFormat="1" ht="13.5" customHeight="1" x14ac:dyDescent="0.2">
      <c r="B133" s="96" t="s">
        <v>443</v>
      </c>
      <c r="C133" s="103" t="s">
        <v>444</v>
      </c>
      <c r="D133" s="80">
        <f t="shared" si="5"/>
        <v>0</v>
      </c>
      <c r="E133" s="80"/>
      <c r="F133" s="80"/>
      <c r="G133" s="80"/>
      <c r="H133" s="80"/>
      <c r="I133" s="80"/>
      <c r="J133" s="79"/>
      <c r="K133" s="80"/>
      <c r="L133" s="93"/>
      <c r="M133" s="93"/>
      <c r="N133" s="93"/>
      <c r="O133" s="93"/>
      <c r="P133" s="93"/>
      <c r="Q133" s="93"/>
      <c r="R133" s="93"/>
      <c r="S133" s="93"/>
    </row>
    <row r="134" spans="2:19" s="77" customFormat="1" ht="13.5" customHeight="1" x14ac:dyDescent="0.2">
      <c r="B134" s="96" t="s">
        <v>445</v>
      </c>
      <c r="C134" s="103" t="s">
        <v>446</v>
      </c>
      <c r="D134" s="79">
        <f t="shared" si="5"/>
        <v>96</v>
      </c>
      <c r="E134" s="79">
        <v>20</v>
      </c>
      <c r="F134" s="79"/>
      <c r="G134" s="79"/>
      <c r="H134" s="79"/>
      <c r="I134" s="79">
        <v>76</v>
      </c>
      <c r="J134" s="79"/>
      <c r="K134" s="79"/>
      <c r="L134" s="87">
        <f>2+8</f>
        <v>10</v>
      </c>
      <c r="M134" s="87">
        <f>1+4</f>
        <v>5</v>
      </c>
      <c r="N134" s="87"/>
      <c r="O134" s="87"/>
      <c r="P134" s="87"/>
      <c r="Q134" s="87"/>
      <c r="R134" s="87">
        <f>1+4</f>
        <v>5</v>
      </c>
      <c r="S134" s="87"/>
    </row>
    <row r="135" spans="2:19" s="77" customFormat="1" ht="13.5" customHeight="1" x14ac:dyDescent="0.2">
      <c r="B135" s="96" t="s">
        <v>447</v>
      </c>
      <c r="C135" s="103" t="s">
        <v>448</v>
      </c>
      <c r="D135" s="80">
        <f t="shared" si="5"/>
        <v>0</v>
      </c>
      <c r="E135" s="80"/>
      <c r="F135" s="80"/>
      <c r="G135" s="80"/>
      <c r="H135" s="80"/>
      <c r="I135" s="80"/>
      <c r="J135" s="79"/>
      <c r="K135" s="80"/>
      <c r="L135" s="93"/>
      <c r="M135" s="93"/>
      <c r="N135" s="93"/>
      <c r="O135" s="93"/>
      <c r="P135" s="93"/>
      <c r="Q135" s="93"/>
      <c r="R135" s="93"/>
      <c r="S135" s="93"/>
    </row>
    <row r="136" spans="2:19" s="77" customFormat="1" ht="13.5" customHeight="1" x14ac:dyDescent="0.2">
      <c r="B136" s="96" t="s">
        <v>449</v>
      </c>
      <c r="C136" s="103" t="s">
        <v>450</v>
      </c>
      <c r="D136" s="79">
        <f t="shared" ref="D136:D185" si="6">E136+F136+G136+H136+I136+J136+K136</f>
        <v>14</v>
      </c>
      <c r="E136" s="80"/>
      <c r="F136" s="80"/>
      <c r="G136" s="80"/>
      <c r="H136" s="80"/>
      <c r="I136" s="80"/>
      <c r="J136" s="79">
        <v>14</v>
      </c>
      <c r="K136" s="80"/>
      <c r="L136" s="93"/>
      <c r="M136" s="87">
        <v>1</v>
      </c>
      <c r="N136" s="93"/>
      <c r="O136" s="93"/>
      <c r="P136" s="93"/>
      <c r="Q136" s="93"/>
      <c r="R136" s="93"/>
      <c r="S136" s="93"/>
    </row>
    <row r="137" spans="2:19" s="77" customFormat="1" ht="13.5" customHeight="1" x14ac:dyDescent="0.2">
      <c r="B137" s="96" t="s">
        <v>451</v>
      </c>
      <c r="C137" s="103" t="s">
        <v>452</v>
      </c>
      <c r="D137" s="79">
        <f t="shared" si="6"/>
        <v>18</v>
      </c>
      <c r="E137" s="79"/>
      <c r="F137" s="79"/>
      <c r="G137" s="79"/>
      <c r="H137" s="79"/>
      <c r="I137" s="79">
        <v>18</v>
      </c>
      <c r="J137" s="79"/>
      <c r="K137" s="79"/>
      <c r="L137" s="87">
        <v>2</v>
      </c>
      <c r="M137" s="87">
        <v>1</v>
      </c>
      <c r="N137" s="87"/>
      <c r="O137" s="87"/>
      <c r="P137" s="87"/>
      <c r="Q137" s="87"/>
      <c r="R137" s="87"/>
      <c r="S137" s="87"/>
    </row>
    <row r="138" spans="2:19" s="77" customFormat="1" ht="13.5" customHeight="1" x14ac:dyDescent="0.2">
      <c r="B138" s="96" t="s">
        <v>453</v>
      </c>
      <c r="C138" s="103" t="s">
        <v>454</v>
      </c>
      <c r="D138" s="80">
        <f t="shared" si="6"/>
        <v>0</v>
      </c>
      <c r="E138" s="80"/>
      <c r="F138" s="80"/>
      <c r="G138" s="80"/>
      <c r="H138" s="80"/>
      <c r="I138" s="95"/>
      <c r="J138" s="79"/>
      <c r="K138" s="95"/>
      <c r="L138" s="104"/>
      <c r="M138" s="104"/>
      <c r="N138" s="104"/>
      <c r="O138" s="104"/>
      <c r="P138" s="104"/>
      <c r="Q138" s="104"/>
      <c r="R138" s="104"/>
      <c r="S138" s="104"/>
    </row>
    <row r="139" spans="2:19" s="77" customFormat="1" ht="13.5" customHeight="1" x14ac:dyDescent="0.2">
      <c r="B139" s="96" t="s">
        <v>455</v>
      </c>
      <c r="C139" s="103" t="s">
        <v>456</v>
      </c>
      <c r="D139" s="80">
        <f t="shared" si="6"/>
        <v>0</v>
      </c>
      <c r="E139" s="80"/>
      <c r="F139" s="80"/>
      <c r="G139" s="80"/>
      <c r="H139" s="80"/>
      <c r="I139" s="95"/>
      <c r="J139" s="79"/>
      <c r="K139" s="95"/>
      <c r="L139" s="104"/>
      <c r="M139" s="104"/>
      <c r="N139" s="104"/>
      <c r="O139" s="104"/>
      <c r="P139" s="104"/>
      <c r="Q139" s="104"/>
      <c r="R139" s="104"/>
      <c r="S139" s="104"/>
    </row>
    <row r="140" spans="2:19" s="77" customFormat="1" ht="13.5" customHeight="1" x14ac:dyDescent="0.2">
      <c r="B140" s="96" t="s">
        <v>457</v>
      </c>
      <c r="C140" s="103" t="s">
        <v>458</v>
      </c>
      <c r="D140" s="80">
        <f t="shared" si="6"/>
        <v>0</v>
      </c>
      <c r="E140" s="80"/>
      <c r="F140" s="80"/>
      <c r="G140" s="80"/>
      <c r="H140" s="80"/>
      <c r="I140" s="95"/>
      <c r="J140" s="79"/>
      <c r="K140" s="95"/>
      <c r="L140" s="104"/>
      <c r="M140" s="104"/>
      <c r="N140" s="104"/>
      <c r="O140" s="104"/>
      <c r="P140" s="104"/>
      <c r="Q140" s="104"/>
      <c r="R140" s="104"/>
      <c r="S140" s="104"/>
    </row>
    <row r="141" spans="2:19" s="77" customFormat="1" ht="13.5" customHeight="1" x14ac:dyDescent="0.2">
      <c r="B141" s="96" t="s">
        <v>459</v>
      </c>
      <c r="C141" s="103" t="s">
        <v>460</v>
      </c>
      <c r="D141" s="80">
        <f t="shared" si="6"/>
        <v>0</v>
      </c>
      <c r="E141" s="80"/>
      <c r="F141" s="80"/>
      <c r="G141" s="80"/>
      <c r="H141" s="80"/>
      <c r="I141" s="95"/>
      <c r="J141" s="79"/>
      <c r="K141" s="95"/>
      <c r="L141" s="104"/>
      <c r="M141" s="104"/>
      <c r="N141" s="104"/>
      <c r="O141" s="104"/>
      <c r="P141" s="104"/>
      <c r="Q141" s="104"/>
      <c r="R141" s="104"/>
      <c r="S141" s="104"/>
    </row>
    <row r="142" spans="2:19" s="77" customFormat="1" ht="13.5" customHeight="1" x14ac:dyDescent="0.2">
      <c r="B142" s="96" t="s">
        <v>461</v>
      </c>
      <c r="C142" s="103" t="s">
        <v>462</v>
      </c>
      <c r="D142" s="80">
        <f t="shared" si="6"/>
        <v>0</v>
      </c>
      <c r="E142" s="80"/>
      <c r="F142" s="80"/>
      <c r="G142" s="80"/>
      <c r="H142" s="80"/>
      <c r="I142" s="95"/>
      <c r="J142" s="79"/>
      <c r="K142" s="95"/>
      <c r="L142" s="104"/>
      <c r="M142" s="104"/>
      <c r="N142" s="104"/>
      <c r="O142" s="104"/>
      <c r="P142" s="104"/>
      <c r="Q142" s="104"/>
      <c r="R142" s="104"/>
      <c r="S142" s="104"/>
    </row>
    <row r="143" spans="2:19" s="77" customFormat="1" ht="13.5" customHeight="1" x14ac:dyDescent="0.2">
      <c r="B143" s="96" t="s">
        <v>463</v>
      </c>
      <c r="C143" s="103" t="s">
        <v>464</v>
      </c>
      <c r="D143" s="80">
        <f t="shared" si="6"/>
        <v>0</v>
      </c>
      <c r="E143" s="80"/>
      <c r="F143" s="80"/>
      <c r="G143" s="80"/>
      <c r="H143" s="80"/>
      <c r="I143" s="95"/>
      <c r="J143" s="79"/>
      <c r="K143" s="95"/>
      <c r="L143" s="104"/>
      <c r="M143" s="104"/>
      <c r="N143" s="104"/>
      <c r="O143" s="104"/>
      <c r="P143" s="104"/>
      <c r="Q143" s="104"/>
      <c r="R143" s="104"/>
      <c r="S143" s="104"/>
    </row>
    <row r="144" spans="2:19" s="77" customFormat="1" ht="13.5" customHeight="1" x14ac:dyDescent="0.2">
      <c r="B144" s="96" t="s">
        <v>465</v>
      </c>
      <c r="C144" s="103" t="s">
        <v>466</v>
      </c>
      <c r="D144" s="80">
        <f t="shared" si="6"/>
        <v>0</v>
      </c>
      <c r="E144" s="80"/>
      <c r="F144" s="80"/>
      <c r="G144" s="80"/>
      <c r="H144" s="80"/>
      <c r="I144" s="95"/>
      <c r="J144" s="79"/>
      <c r="K144" s="95"/>
      <c r="L144" s="104"/>
      <c r="M144" s="104"/>
      <c r="N144" s="104"/>
      <c r="O144" s="104"/>
      <c r="P144" s="104"/>
      <c r="Q144" s="104"/>
      <c r="R144" s="104"/>
      <c r="S144" s="104"/>
    </row>
    <row r="145" spans="2:19" s="77" customFormat="1" ht="13.5" customHeight="1" x14ac:dyDescent="0.2">
      <c r="B145" s="96" t="s">
        <v>467</v>
      </c>
      <c r="C145" s="103" t="s">
        <v>468</v>
      </c>
      <c r="D145" s="79">
        <f t="shared" si="6"/>
        <v>32</v>
      </c>
      <c r="E145" s="79"/>
      <c r="F145" s="79"/>
      <c r="G145" s="79"/>
      <c r="H145" s="79"/>
      <c r="I145" s="79">
        <v>32</v>
      </c>
      <c r="J145" s="79"/>
      <c r="K145" s="79"/>
      <c r="L145" s="87"/>
      <c r="M145" s="87">
        <v>2</v>
      </c>
      <c r="N145" s="87"/>
      <c r="O145" s="87"/>
      <c r="P145" s="87"/>
      <c r="Q145" s="87"/>
      <c r="R145" s="87">
        <v>2</v>
      </c>
      <c r="S145" s="87"/>
    </row>
    <row r="146" spans="2:19" s="77" customFormat="1" ht="13.5" customHeight="1" x14ac:dyDescent="0.2">
      <c r="B146" s="96" t="s">
        <v>469</v>
      </c>
      <c r="C146" s="103" t="s">
        <v>470</v>
      </c>
      <c r="D146" s="79">
        <f t="shared" si="6"/>
        <v>12</v>
      </c>
      <c r="E146" s="79"/>
      <c r="F146" s="79"/>
      <c r="G146" s="79"/>
      <c r="H146" s="79"/>
      <c r="I146" s="79">
        <v>12</v>
      </c>
      <c r="J146" s="79"/>
      <c r="K146" s="79"/>
      <c r="L146" s="87"/>
      <c r="M146" s="87">
        <v>2</v>
      </c>
      <c r="N146" s="87"/>
      <c r="O146" s="87"/>
      <c r="P146" s="87"/>
      <c r="Q146" s="87"/>
      <c r="R146" s="87"/>
      <c r="S146" s="87"/>
    </row>
    <row r="147" spans="2:19" s="77" customFormat="1" ht="13.5" customHeight="1" x14ac:dyDescent="0.2">
      <c r="B147" s="96" t="s">
        <v>471</v>
      </c>
      <c r="C147" s="103" t="s">
        <v>472</v>
      </c>
      <c r="D147" s="79">
        <f t="shared" si="6"/>
        <v>28</v>
      </c>
      <c r="E147" s="79"/>
      <c r="F147" s="79"/>
      <c r="G147" s="79"/>
      <c r="H147" s="79"/>
      <c r="I147" s="79">
        <f>28</f>
        <v>28</v>
      </c>
      <c r="J147" s="79"/>
      <c r="K147" s="79"/>
      <c r="L147" s="87">
        <v>6</v>
      </c>
      <c r="M147" s="87">
        <v>2</v>
      </c>
      <c r="N147" s="87"/>
      <c r="O147" s="87"/>
      <c r="P147" s="87"/>
      <c r="Q147" s="87"/>
      <c r="R147" s="87"/>
      <c r="S147" s="87"/>
    </row>
    <row r="148" spans="2:19" s="77" customFormat="1" ht="13.5" customHeight="1" x14ac:dyDescent="0.2">
      <c r="B148" s="106" t="s">
        <v>473</v>
      </c>
      <c r="C148" s="103" t="s">
        <v>474</v>
      </c>
      <c r="D148" s="80">
        <f t="shared" si="6"/>
        <v>0</v>
      </c>
      <c r="E148" s="80"/>
      <c r="F148" s="80"/>
      <c r="G148" s="80"/>
      <c r="H148" s="80"/>
      <c r="I148" s="80"/>
      <c r="J148" s="79"/>
      <c r="K148" s="80"/>
      <c r="L148" s="93"/>
      <c r="M148" s="93"/>
      <c r="N148" s="93"/>
      <c r="O148" s="93"/>
      <c r="P148" s="93"/>
      <c r="Q148" s="93"/>
      <c r="R148" s="93"/>
      <c r="S148" s="93"/>
    </row>
    <row r="149" spans="2:19" s="77" customFormat="1" ht="13.5" customHeight="1" x14ac:dyDescent="0.2">
      <c r="B149" s="96" t="s">
        <v>475</v>
      </c>
      <c r="C149" s="103" t="s">
        <v>476</v>
      </c>
      <c r="D149" s="79">
        <f t="shared" si="6"/>
        <v>37</v>
      </c>
      <c r="E149" s="79"/>
      <c r="F149" s="79"/>
      <c r="G149" s="79"/>
      <c r="H149" s="79"/>
      <c r="I149" s="79">
        <v>37</v>
      </c>
      <c r="J149" s="79"/>
      <c r="K149" s="79"/>
      <c r="L149" s="87">
        <v>12</v>
      </c>
      <c r="M149" s="87">
        <v>1</v>
      </c>
      <c r="N149" s="87"/>
      <c r="O149" s="87"/>
      <c r="P149" s="87"/>
      <c r="Q149" s="87"/>
      <c r="R149" s="87"/>
      <c r="S149" s="87"/>
    </row>
    <row r="150" spans="2:19" s="77" customFormat="1" ht="13.5" customHeight="1" x14ac:dyDescent="0.2">
      <c r="B150" s="96" t="s">
        <v>477</v>
      </c>
      <c r="C150" s="103" t="s">
        <v>478</v>
      </c>
      <c r="D150" s="79">
        <f t="shared" si="6"/>
        <v>86</v>
      </c>
      <c r="E150" s="79"/>
      <c r="F150" s="79"/>
      <c r="G150" s="79"/>
      <c r="H150" s="79"/>
      <c r="I150" s="79">
        <v>86</v>
      </c>
      <c r="J150" s="79"/>
      <c r="K150" s="79"/>
      <c r="L150" s="87">
        <v>4</v>
      </c>
      <c r="M150" s="87">
        <v>6</v>
      </c>
      <c r="N150" s="87"/>
      <c r="O150" s="87"/>
      <c r="P150" s="87"/>
      <c r="Q150" s="87"/>
      <c r="R150" s="87"/>
      <c r="S150" s="87"/>
    </row>
    <row r="151" spans="2:19" s="77" customFormat="1" ht="17.45" customHeight="1" x14ac:dyDescent="0.2">
      <c r="B151" s="96" t="s">
        <v>479</v>
      </c>
      <c r="C151" s="103" t="s">
        <v>480</v>
      </c>
      <c r="D151" s="80">
        <f t="shared" si="6"/>
        <v>0</v>
      </c>
      <c r="E151" s="80"/>
      <c r="F151" s="80"/>
      <c r="G151" s="80"/>
      <c r="H151" s="80"/>
      <c r="I151" s="80"/>
      <c r="J151" s="79"/>
      <c r="K151" s="80"/>
      <c r="L151" s="93"/>
      <c r="M151" s="93"/>
      <c r="N151" s="93"/>
      <c r="O151" s="93"/>
      <c r="P151" s="93"/>
      <c r="Q151" s="93"/>
      <c r="R151" s="93"/>
      <c r="S151" s="93"/>
    </row>
    <row r="152" spans="2:19" s="77" customFormat="1" ht="14.45" customHeight="1" x14ac:dyDescent="0.2">
      <c r="B152" s="96" t="s">
        <v>481</v>
      </c>
      <c r="C152" s="103" t="s">
        <v>482</v>
      </c>
      <c r="D152" s="79">
        <f t="shared" si="6"/>
        <v>54</v>
      </c>
      <c r="E152" s="79"/>
      <c r="F152" s="79"/>
      <c r="G152" s="79"/>
      <c r="H152" s="79"/>
      <c r="I152" s="79">
        <v>54</v>
      </c>
      <c r="J152" s="79"/>
      <c r="K152" s="79"/>
      <c r="L152" s="87">
        <v>9</v>
      </c>
      <c r="M152" s="87">
        <v>1</v>
      </c>
      <c r="N152" s="87"/>
      <c r="O152" s="87"/>
      <c r="P152" s="87"/>
      <c r="Q152" s="87"/>
      <c r="R152" s="87"/>
      <c r="S152" s="87"/>
    </row>
    <row r="153" spans="2:19" s="77" customFormat="1" ht="13.5" customHeight="1" x14ac:dyDescent="0.2">
      <c r="B153" s="96" t="s">
        <v>483</v>
      </c>
      <c r="C153" s="103" t="s">
        <v>484</v>
      </c>
      <c r="D153" s="80">
        <f t="shared" si="6"/>
        <v>0</v>
      </c>
      <c r="E153" s="80"/>
      <c r="F153" s="80"/>
      <c r="G153" s="80"/>
      <c r="H153" s="80"/>
      <c r="I153" s="80"/>
      <c r="J153" s="79"/>
      <c r="K153" s="80"/>
      <c r="L153" s="93"/>
      <c r="M153" s="93"/>
      <c r="N153" s="93"/>
      <c r="O153" s="93"/>
      <c r="P153" s="93"/>
      <c r="Q153" s="93"/>
      <c r="R153" s="93"/>
      <c r="S153" s="93"/>
    </row>
    <row r="154" spans="2:19" s="77" customFormat="1" ht="13.5" customHeight="1" x14ac:dyDescent="0.2">
      <c r="B154" s="96" t="s">
        <v>485</v>
      </c>
      <c r="C154" s="103" t="s">
        <v>486</v>
      </c>
      <c r="D154" s="79">
        <f t="shared" si="6"/>
        <v>388</v>
      </c>
      <c r="E154" s="79">
        <v>138</v>
      </c>
      <c r="F154" s="79"/>
      <c r="G154" s="79"/>
      <c r="H154" s="79"/>
      <c r="I154" s="79">
        <v>250</v>
      </c>
      <c r="J154" s="79"/>
      <c r="K154" s="79"/>
      <c r="L154" s="87">
        <f>12+62</f>
        <v>74</v>
      </c>
      <c r="M154" s="87">
        <f>5+4</f>
        <v>9</v>
      </c>
      <c r="N154" s="87">
        <f>3</f>
        <v>3</v>
      </c>
      <c r="O154" s="87"/>
      <c r="P154" s="87"/>
      <c r="Q154" s="87"/>
      <c r="R154" s="87">
        <f>3+2+4</f>
        <v>9</v>
      </c>
      <c r="S154" s="87"/>
    </row>
    <row r="155" spans="2:19" s="77" customFormat="1" ht="13.5" customHeight="1" x14ac:dyDescent="0.2">
      <c r="B155" s="96" t="s">
        <v>487</v>
      </c>
      <c r="C155" s="103" t="s">
        <v>488</v>
      </c>
      <c r="D155" s="80">
        <f t="shared" si="6"/>
        <v>0</v>
      </c>
      <c r="E155" s="80"/>
      <c r="F155" s="80"/>
      <c r="G155" s="80"/>
      <c r="H155" s="80"/>
      <c r="I155" s="80"/>
      <c r="J155" s="79"/>
      <c r="K155" s="80"/>
      <c r="L155" s="93"/>
      <c r="M155" s="93"/>
      <c r="N155" s="93"/>
      <c r="O155" s="93"/>
      <c r="P155" s="93"/>
      <c r="Q155" s="93"/>
      <c r="R155" s="93"/>
      <c r="S155" s="93"/>
    </row>
    <row r="156" spans="2:19" s="77" customFormat="1" ht="13.5" customHeight="1" x14ac:dyDescent="0.2">
      <c r="B156" s="96" t="s">
        <v>489</v>
      </c>
      <c r="C156" s="103" t="s">
        <v>490</v>
      </c>
      <c r="D156" s="80">
        <f t="shared" si="6"/>
        <v>0</v>
      </c>
      <c r="E156" s="80"/>
      <c r="F156" s="80"/>
      <c r="G156" s="80"/>
      <c r="H156" s="80"/>
      <c r="I156" s="80"/>
      <c r="J156" s="79"/>
      <c r="K156" s="80"/>
      <c r="L156" s="93"/>
      <c r="M156" s="93"/>
      <c r="N156" s="93"/>
      <c r="O156" s="93"/>
      <c r="P156" s="93"/>
      <c r="Q156" s="93"/>
      <c r="R156" s="93"/>
      <c r="S156" s="93"/>
    </row>
    <row r="157" spans="2:19" s="77" customFormat="1" ht="17.100000000000001" customHeight="1" x14ac:dyDescent="0.2">
      <c r="B157" s="96" t="s">
        <v>491</v>
      </c>
      <c r="C157" s="103" t="s">
        <v>492</v>
      </c>
      <c r="D157" s="80">
        <f t="shared" si="6"/>
        <v>0</v>
      </c>
      <c r="E157" s="80"/>
      <c r="F157" s="80"/>
      <c r="G157" s="80"/>
      <c r="H157" s="80"/>
      <c r="I157" s="80"/>
      <c r="J157" s="79"/>
      <c r="K157" s="80"/>
      <c r="L157" s="93"/>
      <c r="M157" s="93"/>
      <c r="N157" s="93"/>
      <c r="O157" s="93"/>
      <c r="P157" s="93"/>
      <c r="Q157" s="93"/>
      <c r="R157" s="93"/>
      <c r="S157" s="93"/>
    </row>
    <row r="158" spans="2:19" s="77" customFormat="1" ht="14.45" customHeight="1" x14ac:dyDescent="0.2">
      <c r="B158" s="96" t="s">
        <v>493</v>
      </c>
      <c r="C158" s="103" t="s">
        <v>494</v>
      </c>
      <c r="D158" s="80">
        <f t="shared" si="6"/>
        <v>0</v>
      </c>
      <c r="E158" s="80"/>
      <c r="F158" s="80"/>
      <c r="G158" s="80"/>
      <c r="H158" s="80"/>
      <c r="I158" s="80"/>
      <c r="J158" s="79"/>
      <c r="K158" s="80"/>
      <c r="L158" s="93"/>
      <c r="M158" s="93"/>
      <c r="N158" s="93"/>
      <c r="O158" s="93"/>
      <c r="P158" s="93"/>
      <c r="Q158" s="93"/>
      <c r="R158" s="93"/>
      <c r="S158" s="93"/>
    </row>
    <row r="159" spans="2:19" s="77" customFormat="1" ht="13.5" customHeight="1" x14ac:dyDescent="0.2">
      <c r="B159" s="96" t="s">
        <v>495</v>
      </c>
      <c r="C159" s="103" t="s">
        <v>496</v>
      </c>
      <c r="D159" s="80">
        <f t="shared" si="6"/>
        <v>0</v>
      </c>
      <c r="E159" s="80"/>
      <c r="F159" s="80"/>
      <c r="G159" s="80"/>
      <c r="H159" s="80"/>
      <c r="I159" s="80"/>
      <c r="J159" s="79"/>
      <c r="K159" s="80"/>
      <c r="L159" s="93"/>
      <c r="M159" s="93"/>
      <c r="N159" s="93"/>
      <c r="O159" s="93"/>
      <c r="P159" s="93"/>
      <c r="Q159" s="93"/>
      <c r="R159" s="93"/>
      <c r="S159" s="93"/>
    </row>
    <row r="160" spans="2:19" s="77" customFormat="1" ht="13.5" customHeight="1" x14ac:dyDescent="0.2">
      <c r="B160" s="96" t="s">
        <v>497</v>
      </c>
      <c r="C160" s="103" t="s">
        <v>498</v>
      </c>
      <c r="D160" s="79">
        <f t="shared" si="6"/>
        <v>46</v>
      </c>
      <c r="E160" s="79"/>
      <c r="F160" s="79"/>
      <c r="G160" s="79"/>
      <c r="H160" s="79"/>
      <c r="I160" s="79">
        <v>46</v>
      </c>
      <c r="J160" s="79"/>
      <c r="K160" s="79"/>
      <c r="L160" s="87">
        <v>16</v>
      </c>
      <c r="M160" s="87">
        <v>3</v>
      </c>
      <c r="N160" s="87"/>
      <c r="O160" s="87"/>
      <c r="P160" s="87"/>
      <c r="Q160" s="87"/>
      <c r="R160" s="87">
        <v>2</v>
      </c>
      <c r="S160" s="87">
        <v>1</v>
      </c>
    </row>
    <row r="161" spans="2:19" s="77" customFormat="1" ht="12" customHeight="1" x14ac:dyDescent="0.2">
      <c r="B161" s="96" t="s">
        <v>499</v>
      </c>
      <c r="C161" s="103" t="s">
        <v>500</v>
      </c>
      <c r="D161" s="80">
        <f t="shared" si="6"/>
        <v>0</v>
      </c>
      <c r="E161" s="80"/>
      <c r="F161" s="80"/>
      <c r="G161" s="80"/>
      <c r="H161" s="80"/>
      <c r="I161" s="80"/>
      <c r="J161" s="79"/>
      <c r="K161" s="80"/>
      <c r="L161" s="93"/>
      <c r="M161" s="93"/>
      <c r="N161" s="93"/>
      <c r="O161" s="93"/>
      <c r="P161" s="93"/>
      <c r="Q161" s="93"/>
      <c r="R161" s="93"/>
      <c r="S161" s="93"/>
    </row>
    <row r="162" spans="2:19" s="77" customFormat="1" ht="12.75" customHeight="1" x14ac:dyDescent="0.2">
      <c r="B162" s="96" t="s">
        <v>501</v>
      </c>
      <c r="C162" s="103" t="s">
        <v>502</v>
      </c>
      <c r="D162" s="80">
        <f t="shared" si="6"/>
        <v>0</v>
      </c>
      <c r="E162" s="80"/>
      <c r="F162" s="80"/>
      <c r="G162" s="80"/>
      <c r="H162" s="80"/>
      <c r="I162" s="95"/>
      <c r="J162" s="79"/>
      <c r="K162" s="95"/>
      <c r="L162" s="104"/>
      <c r="M162" s="104"/>
      <c r="N162" s="104"/>
      <c r="O162" s="104"/>
      <c r="P162" s="104"/>
      <c r="Q162" s="104"/>
      <c r="R162" s="104"/>
      <c r="S162" s="104"/>
    </row>
    <row r="163" spans="2:19" s="77" customFormat="1" ht="12.75" customHeight="1" x14ac:dyDescent="0.2">
      <c r="B163" s="96" t="s">
        <v>503</v>
      </c>
      <c r="C163" s="103" t="s">
        <v>504</v>
      </c>
      <c r="D163" s="79">
        <f t="shared" si="6"/>
        <v>198</v>
      </c>
      <c r="E163" s="79"/>
      <c r="F163" s="79"/>
      <c r="G163" s="79"/>
      <c r="H163" s="79"/>
      <c r="I163" s="79">
        <v>198</v>
      </c>
      <c r="J163" s="79"/>
      <c r="K163" s="79"/>
      <c r="L163" s="87">
        <v>108</v>
      </c>
      <c r="M163" s="87">
        <v>16</v>
      </c>
      <c r="N163" s="87">
        <v>1</v>
      </c>
      <c r="O163" s="87"/>
      <c r="P163" s="87"/>
      <c r="Q163" s="87"/>
      <c r="R163" s="87">
        <v>12</v>
      </c>
      <c r="S163" s="87">
        <v>2</v>
      </c>
    </row>
    <row r="164" spans="2:19" s="77" customFormat="1" ht="12" customHeight="1" x14ac:dyDescent="0.2">
      <c r="B164" s="105" t="s">
        <v>505</v>
      </c>
      <c r="C164" s="103" t="s">
        <v>506</v>
      </c>
      <c r="D164" s="79">
        <f t="shared" si="6"/>
        <v>102</v>
      </c>
      <c r="E164" s="79"/>
      <c r="F164" s="79"/>
      <c r="G164" s="79"/>
      <c r="H164" s="79"/>
      <c r="I164" s="79">
        <v>102</v>
      </c>
      <c r="J164" s="79"/>
      <c r="K164" s="79"/>
      <c r="L164" s="87">
        <v>92</v>
      </c>
      <c r="M164" s="87">
        <v>1</v>
      </c>
      <c r="N164" s="87"/>
      <c r="O164" s="87"/>
      <c r="P164" s="87"/>
      <c r="Q164" s="87"/>
      <c r="R164" s="87">
        <v>1</v>
      </c>
      <c r="S164" s="87">
        <v>1</v>
      </c>
    </row>
    <row r="165" spans="2:19" s="77" customFormat="1" ht="13.5" customHeight="1" x14ac:dyDescent="0.2">
      <c r="B165" s="96" t="s">
        <v>507</v>
      </c>
      <c r="C165" s="103" t="s">
        <v>508</v>
      </c>
      <c r="D165" s="80">
        <f t="shared" si="6"/>
        <v>0</v>
      </c>
      <c r="E165" s="93"/>
      <c r="F165" s="93"/>
      <c r="G165" s="93"/>
      <c r="H165" s="93"/>
      <c r="I165" s="104"/>
      <c r="J165" s="79"/>
      <c r="K165" s="104"/>
      <c r="L165" s="104"/>
      <c r="M165" s="95"/>
      <c r="N165" s="95"/>
      <c r="O165" s="95"/>
      <c r="P165" s="80"/>
      <c r="Q165" s="80"/>
      <c r="R165" s="95"/>
      <c r="S165" s="95"/>
    </row>
    <row r="166" spans="2:19" s="77" customFormat="1" ht="13.5" customHeight="1" x14ac:dyDescent="0.2">
      <c r="B166" s="96" t="s">
        <v>509</v>
      </c>
      <c r="C166" s="103" t="s">
        <v>510</v>
      </c>
      <c r="D166" s="80">
        <f t="shared" si="6"/>
        <v>0</v>
      </c>
      <c r="E166" s="80"/>
      <c r="F166" s="80"/>
      <c r="G166" s="80"/>
      <c r="H166" s="80"/>
      <c r="I166" s="95"/>
      <c r="J166" s="79"/>
      <c r="K166" s="95"/>
      <c r="L166" s="104"/>
      <c r="M166" s="104"/>
      <c r="N166" s="104"/>
      <c r="O166" s="104"/>
      <c r="P166" s="93"/>
      <c r="Q166" s="93"/>
      <c r="R166" s="104"/>
      <c r="S166" s="104"/>
    </row>
    <row r="167" spans="2:19" s="77" customFormat="1" ht="13.5" customHeight="1" x14ac:dyDescent="0.2">
      <c r="B167" s="96" t="s">
        <v>511</v>
      </c>
      <c r="C167" s="103" t="s">
        <v>512</v>
      </c>
      <c r="D167" s="79">
        <f t="shared" si="6"/>
        <v>46</v>
      </c>
      <c r="E167" s="79"/>
      <c r="F167" s="79"/>
      <c r="G167" s="79"/>
      <c r="H167" s="79"/>
      <c r="I167" s="79">
        <v>46</v>
      </c>
      <c r="J167" s="79"/>
      <c r="K167" s="79"/>
      <c r="L167" s="87"/>
      <c r="M167" s="87">
        <v>2</v>
      </c>
      <c r="N167" s="87"/>
      <c r="O167" s="87"/>
      <c r="P167" s="87"/>
      <c r="Q167" s="87"/>
      <c r="R167" s="87">
        <v>1</v>
      </c>
      <c r="S167" s="87">
        <v>1</v>
      </c>
    </row>
    <row r="168" spans="2:19" s="77" customFormat="1" ht="13.5" customHeight="1" x14ac:dyDescent="0.2">
      <c r="B168" s="96" t="s">
        <v>513</v>
      </c>
      <c r="C168" s="103" t="s">
        <v>514</v>
      </c>
      <c r="D168" s="79">
        <f t="shared" si="6"/>
        <v>8</v>
      </c>
      <c r="E168" s="79"/>
      <c r="F168" s="79"/>
      <c r="G168" s="79"/>
      <c r="H168" s="79"/>
      <c r="I168" s="79">
        <v>8</v>
      </c>
      <c r="J168" s="79"/>
      <c r="K168" s="79"/>
      <c r="L168" s="87">
        <v>8</v>
      </c>
      <c r="M168" s="87">
        <v>1</v>
      </c>
      <c r="N168" s="87"/>
      <c r="O168" s="87"/>
      <c r="P168" s="87"/>
      <c r="Q168" s="87"/>
      <c r="R168" s="87">
        <v>1</v>
      </c>
      <c r="S168" s="87"/>
    </row>
    <row r="169" spans="2:19" s="77" customFormat="1" ht="13.5" customHeight="1" x14ac:dyDescent="0.2">
      <c r="B169" s="96" t="s">
        <v>515</v>
      </c>
      <c r="C169" s="103" t="s">
        <v>516</v>
      </c>
      <c r="D169" s="79">
        <f t="shared" si="6"/>
        <v>62</v>
      </c>
      <c r="E169" s="100"/>
      <c r="F169" s="100"/>
      <c r="G169" s="100"/>
      <c r="H169" s="100"/>
      <c r="I169" s="79">
        <v>62</v>
      </c>
      <c r="J169" s="79"/>
      <c r="K169" s="79"/>
      <c r="L169" s="87">
        <v>12</v>
      </c>
      <c r="M169" s="87">
        <v>1</v>
      </c>
      <c r="N169" s="88"/>
      <c r="O169" s="88"/>
      <c r="P169" s="88"/>
      <c r="Q169" s="88"/>
      <c r="R169" s="88">
        <v>1</v>
      </c>
      <c r="S169" s="87"/>
    </row>
    <row r="170" spans="2:19" s="77" customFormat="1" ht="13.5" customHeight="1" x14ac:dyDescent="0.2">
      <c r="B170" s="96" t="s">
        <v>517</v>
      </c>
      <c r="C170" s="103" t="s">
        <v>518</v>
      </c>
      <c r="D170" s="79">
        <f t="shared" si="6"/>
        <v>42</v>
      </c>
      <c r="E170" s="79"/>
      <c r="F170" s="79"/>
      <c r="G170" s="79"/>
      <c r="H170" s="79"/>
      <c r="I170" s="79">
        <v>42</v>
      </c>
      <c r="J170" s="79"/>
      <c r="K170" s="79"/>
      <c r="L170" s="87">
        <v>18</v>
      </c>
      <c r="M170" s="87">
        <v>2</v>
      </c>
      <c r="N170" s="88"/>
      <c r="O170" s="88"/>
      <c r="P170" s="88"/>
      <c r="Q170" s="88"/>
      <c r="R170" s="88">
        <v>2</v>
      </c>
      <c r="S170" s="87"/>
    </row>
    <row r="171" spans="2:19" s="77" customFormat="1" ht="13.5" customHeight="1" x14ac:dyDescent="0.2">
      <c r="B171" s="96" t="s">
        <v>519</v>
      </c>
      <c r="C171" s="103" t="s">
        <v>520</v>
      </c>
      <c r="D171" s="79">
        <f t="shared" si="6"/>
        <v>12</v>
      </c>
      <c r="E171" s="79"/>
      <c r="F171" s="79"/>
      <c r="G171" s="79"/>
      <c r="H171" s="79"/>
      <c r="I171" s="79">
        <v>12</v>
      </c>
      <c r="J171" s="79"/>
      <c r="K171" s="79"/>
      <c r="L171" s="87"/>
      <c r="M171" s="87">
        <v>2</v>
      </c>
      <c r="N171" s="88"/>
      <c r="O171" s="88"/>
      <c r="P171" s="88"/>
      <c r="Q171" s="88"/>
      <c r="R171" s="88">
        <v>2</v>
      </c>
      <c r="S171" s="87"/>
    </row>
    <row r="172" spans="2:19" s="77" customFormat="1" ht="13.5" customHeight="1" x14ac:dyDescent="0.2">
      <c r="B172" s="96" t="s">
        <v>521</v>
      </c>
      <c r="C172" s="103" t="s">
        <v>522</v>
      </c>
      <c r="D172" s="79">
        <f t="shared" si="6"/>
        <v>42</v>
      </c>
      <c r="E172" s="79"/>
      <c r="F172" s="79"/>
      <c r="G172" s="79"/>
      <c r="H172" s="79"/>
      <c r="I172" s="79">
        <v>42</v>
      </c>
      <c r="J172" s="79"/>
      <c r="K172" s="79"/>
      <c r="L172" s="87">
        <v>21</v>
      </c>
      <c r="M172" s="87">
        <v>2</v>
      </c>
      <c r="N172" s="88"/>
      <c r="O172" s="88"/>
      <c r="P172" s="88"/>
      <c r="Q172" s="88"/>
      <c r="R172" s="88">
        <v>1</v>
      </c>
      <c r="S172" s="87">
        <v>1</v>
      </c>
    </row>
    <row r="173" spans="2:19" s="77" customFormat="1" ht="13.5" customHeight="1" x14ac:dyDescent="0.2">
      <c r="B173" s="96" t="s">
        <v>523</v>
      </c>
      <c r="C173" s="103" t="s">
        <v>524</v>
      </c>
      <c r="D173" s="80">
        <f t="shared" si="6"/>
        <v>0</v>
      </c>
      <c r="E173" s="80"/>
      <c r="F173" s="80"/>
      <c r="G173" s="80"/>
      <c r="H173" s="80"/>
      <c r="I173" s="80"/>
      <c r="J173" s="79"/>
      <c r="K173" s="80"/>
      <c r="L173" s="93"/>
      <c r="M173" s="93"/>
      <c r="N173" s="94"/>
      <c r="O173" s="94"/>
      <c r="P173" s="94"/>
      <c r="Q173" s="94"/>
      <c r="R173" s="94"/>
      <c r="S173" s="93"/>
    </row>
    <row r="174" spans="2:19" s="77" customFormat="1" ht="13.5" customHeight="1" x14ac:dyDescent="0.2">
      <c r="B174" s="96" t="s">
        <v>525</v>
      </c>
      <c r="C174" s="103" t="s">
        <v>526</v>
      </c>
      <c r="D174" s="80">
        <f t="shared" si="6"/>
        <v>0</v>
      </c>
      <c r="E174" s="80"/>
      <c r="F174" s="80"/>
      <c r="G174" s="80"/>
      <c r="H174" s="80"/>
      <c r="I174" s="80"/>
      <c r="J174" s="79"/>
      <c r="K174" s="80"/>
      <c r="L174" s="93"/>
      <c r="M174" s="93"/>
      <c r="N174" s="94"/>
      <c r="O174" s="94"/>
      <c r="P174" s="94"/>
      <c r="Q174" s="94"/>
      <c r="R174" s="94"/>
      <c r="S174" s="93"/>
    </row>
    <row r="175" spans="2:19" s="77" customFormat="1" ht="13.5" customHeight="1" x14ac:dyDescent="0.2">
      <c r="B175" s="106" t="s">
        <v>527</v>
      </c>
      <c r="C175" s="103" t="s">
        <v>528</v>
      </c>
      <c r="D175" s="79">
        <f t="shared" si="6"/>
        <v>76</v>
      </c>
      <c r="E175" s="79"/>
      <c r="F175" s="79"/>
      <c r="G175" s="79"/>
      <c r="H175" s="79"/>
      <c r="I175" s="79">
        <v>76</v>
      </c>
      <c r="J175" s="79"/>
      <c r="K175" s="79"/>
      <c r="L175" s="87"/>
      <c r="M175" s="87">
        <v>1</v>
      </c>
      <c r="N175" s="88"/>
      <c r="O175" s="88"/>
      <c r="P175" s="88"/>
      <c r="Q175" s="88"/>
      <c r="R175" s="88">
        <v>1</v>
      </c>
      <c r="S175" s="87"/>
    </row>
    <row r="176" spans="2:19" s="77" customFormat="1" ht="13.5" customHeight="1" x14ac:dyDescent="0.2">
      <c r="B176" s="96" t="s">
        <v>529</v>
      </c>
      <c r="C176" s="103" t="s">
        <v>530</v>
      </c>
      <c r="D176" s="80">
        <f t="shared" si="6"/>
        <v>0</v>
      </c>
      <c r="E176" s="80"/>
      <c r="F176" s="80"/>
      <c r="G176" s="80"/>
      <c r="H176" s="80"/>
      <c r="I176" s="80"/>
      <c r="J176" s="79"/>
      <c r="K176" s="80"/>
      <c r="L176" s="93"/>
      <c r="M176" s="93"/>
      <c r="N176" s="94"/>
      <c r="O176" s="94"/>
      <c r="P176" s="94"/>
      <c r="Q176" s="94"/>
      <c r="R176" s="94"/>
      <c r="S176" s="93"/>
    </row>
    <row r="177" spans="2:19" s="77" customFormat="1" ht="13.5" customHeight="1" x14ac:dyDescent="0.2">
      <c r="B177" s="96" t="s">
        <v>531</v>
      </c>
      <c r="C177" s="103" t="s">
        <v>532</v>
      </c>
      <c r="D177" s="80">
        <f t="shared" si="6"/>
        <v>0</v>
      </c>
      <c r="E177" s="80"/>
      <c r="F177" s="80"/>
      <c r="G177" s="80"/>
      <c r="H177" s="80"/>
      <c r="I177" s="80"/>
      <c r="J177" s="79"/>
      <c r="K177" s="80"/>
      <c r="L177" s="93"/>
      <c r="M177" s="93"/>
      <c r="N177" s="94"/>
      <c r="O177" s="94"/>
      <c r="P177" s="94"/>
      <c r="Q177" s="94"/>
      <c r="R177" s="94"/>
      <c r="S177" s="93"/>
    </row>
    <row r="178" spans="2:19" s="77" customFormat="1" ht="13.5" customHeight="1" x14ac:dyDescent="0.2">
      <c r="B178" s="96" t="s">
        <v>533</v>
      </c>
      <c r="C178" s="103" t="s">
        <v>534</v>
      </c>
      <c r="D178" s="80">
        <f t="shared" si="6"/>
        <v>0</v>
      </c>
      <c r="E178" s="80"/>
      <c r="F178" s="80"/>
      <c r="G178" s="80"/>
      <c r="H178" s="80"/>
      <c r="I178" s="80"/>
      <c r="J178" s="79"/>
      <c r="K178" s="80"/>
      <c r="L178" s="93"/>
      <c r="M178" s="93"/>
      <c r="N178" s="94"/>
      <c r="O178" s="94"/>
      <c r="P178" s="94"/>
      <c r="Q178" s="94"/>
      <c r="R178" s="94"/>
      <c r="S178" s="93"/>
    </row>
    <row r="179" spans="2:19" s="77" customFormat="1" ht="13.5" customHeight="1" x14ac:dyDescent="0.2">
      <c r="B179" s="96" t="s">
        <v>535</v>
      </c>
      <c r="C179" s="103" t="s">
        <v>536</v>
      </c>
      <c r="D179" s="80">
        <f t="shared" si="6"/>
        <v>0</v>
      </c>
      <c r="E179" s="84"/>
      <c r="F179" s="84"/>
      <c r="G179" s="84"/>
      <c r="H179" s="84"/>
      <c r="I179" s="84"/>
      <c r="J179" s="79"/>
      <c r="K179" s="84"/>
      <c r="L179" s="107"/>
      <c r="M179" s="107"/>
      <c r="N179" s="108"/>
      <c r="O179" s="108"/>
      <c r="P179" s="108"/>
      <c r="Q179" s="108"/>
      <c r="R179" s="108"/>
      <c r="S179" s="93"/>
    </row>
    <row r="180" spans="2:19" s="77" customFormat="1" ht="13.5" customHeight="1" x14ac:dyDescent="0.2">
      <c r="B180" s="96" t="s">
        <v>537</v>
      </c>
      <c r="C180" s="103" t="s">
        <v>538</v>
      </c>
      <c r="D180" s="80">
        <f t="shared" si="6"/>
        <v>0</v>
      </c>
      <c r="E180" s="80"/>
      <c r="F180" s="80"/>
      <c r="G180" s="80"/>
      <c r="H180" s="80"/>
      <c r="I180" s="80"/>
      <c r="J180" s="79"/>
      <c r="K180" s="80"/>
      <c r="L180" s="93"/>
      <c r="M180" s="93"/>
      <c r="N180" s="94"/>
      <c r="O180" s="94"/>
      <c r="P180" s="94"/>
      <c r="Q180" s="94"/>
      <c r="R180" s="94"/>
      <c r="S180" s="93"/>
    </row>
    <row r="181" spans="2:19" s="77" customFormat="1" ht="13.5" customHeight="1" x14ac:dyDescent="0.2">
      <c r="B181" s="96" t="s">
        <v>539</v>
      </c>
      <c r="C181" s="103" t="s">
        <v>540</v>
      </c>
      <c r="D181" s="79">
        <f t="shared" si="6"/>
        <v>680</v>
      </c>
      <c r="E181" s="79"/>
      <c r="F181" s="79"/>
      <c r="G181" s="79"/>
      <c r="H181" s="79"/>
      <c r="I181" s="79">
        <v>680</v>
      </c>
      <c r="J181" s="79"/>
      <c r="K181" s="79"/>
      <c r="L181" s="87">
        <v>36</v>
      </c>
      <c r="M181" s="87">
        <v>16</v>
      </c>
      <c r="N181" s="88"/>
      <c r="O181" s="88"/>
      <c r="P181" s="88"/>
      <c r="Q181" s="88"/>
      <c r="R181" s="88">
        <v>10</v>
      </c>
      <c r="S181" s="87"/>
    </row>
    <row r="182" spans="2:19" s="77" customFormat="1" ht="13.5" customHeight="1" x14ac:dyDescent="0.2">
      <c r="B182" s="96" t="s">
        <v>541</v>
      </c>
      <c r="C182" s="103" t="s">
        <v>542</v>
      </c>
      <c r="D182" s="79">
        <f t="shared" si="6"/>
        <v>44</v>
      </c>
      <c r="E182" s="79">
        <v>20</v>
      </c>
      <c r="F182" s="79"/>
      <c r="G182" s="79"/>
      <c r="H182" s="79"/>
      <c r="I182" s="79">
        <v>24</v>
      </c>
      <c r="J182" s="79"/>
      <c r="K182" s="79"/>
      <c r="L182" s="87">
        <f>20+24</f>
        <v>44</v>
      </c>
      <c r="M182" s="87">
        <f>1+1</f>
        <v>2</v>
      </c>
      <c r="N182" s="88">
        <f>1</f>
        <v>1</v>
      </c>
      <c r="O182" s="88"/>
      <c r="P182" s="88"/>
      <c r="Q182" s="88"/>
      <c r="R182" s="88">
        <f>1</f>
        <v>1</v>
      </c>
      <c r="S182" s="87">
        <f>1</f>
        <v>1</v>
      </c>
    </row>
    <row r="183" spans="2:19" s="77" customFormat="1" ht="13.5" customHeight="1" x14ac:dyDescent="0.2">
      <c r="B183" s="96" t="s">
        <v>543</v>
      </c>
      <c r="C183" s="103" t="s">
        <v>544</v>
      </c>
      <c r="D183" s="79">
        <f t="shared" si="6"/>
        <v>354</v>
      </c>
      <c r="E183" s="79">
        <v>258</v>
      </c>
      <c r="F183" s="79"/>
      <c r="G183" s="79"/>
      <c r="H183" s="79"/>
      <c r="I183" s="79">
        <v>82</v>
      </c>
      <c r="J183" s="79">
        <v>14</v>
      </c>
      <c r="K183" s="79"/>
      <c r="L183" s="87">
        <f>67</f>
        <v>67</v>
      </c>
      <c r="M183" s="87">
        <f>9</f>
        <v>9</v>
      </c>
      <c r="N183" s="88">
        <f>6</f>
        <v>6</v>
      </c>
      <c r="O183" s="88"/>
      <c r="P183" s="88"/>
      <c r="Q183" s="88"/>
      <c r="R183" s="88">
        <f>2+3</f>
        <v>5</v>
      </c>
      <c r="S183" s="87">
        <f>2</f>
        <v>2</v>
      </c>
    </row>
    <row r="184" spans="2:19" s="77" customFormat="1" ht="13.5" customHeight="1" x14ac:dyDescent="0.2">
      <c r="B184" s="96" t="s">
        <v>545</v>
      </c>
      <c r="C184" s="103" t="s">
        <v>546</v>
      </c>
      <c r="D184" s="79">
        <f t="shared" si="6"/>
        <v>316</v>
      </c>
      <c r="E184" s="79">
        <v>24</v>
      </c>
      <c r="F184" s="79"/>
      <c r="G184" s="79"/>
      <c r="H184" s="79"/>
      <c r="I184" s="79">
        <f>280</f>
        <v>280</v>
      </c>
      <c r="J184" s="79">
        <v>12</v>
      </c>
      <c r="K184" s="100"/>
      <c r="L184" s="87">
        <f>4+112</f>
        <v>116</v>
      </c>
      <c r="M184" s="87">
        <f>1</f>
        <v>1</v>
      </c>
      <c r="N184" s="88"/>
      <c r="O184" s="88"/>
      <c r="P184" s="88"/>
      <c r="Q184" s="88"/>
      <c r="R184" s="88"/>
      <c r="S184" s="87"/>
    </row>
    <row r="185" spans="2:19" s="77" customFormat="1" ht="13.5" customHeight="1" x14ac:dyDescent="0.2">
      <c r="B185" s="106" t="s">
        <v>547</v>
      </c>
      <c r="C185" s="103" t="s">
        <v>548</v>
      </c>
      <c r="D185" s="97">
        <f t="shared" si="6"/>
        <v>0</v>
      </c>
      <c r="E185" s="97"/>
      <c r="F185" s="97"/>
      <c r="G185" s="97"/>
      <c r="H185" s="97"/>
      <c r="I185" s="97"/>
      <c r="J185" s="79"/>
      <c r="K185" s="97"/>
      <c r="L185" s="91" t="s">
        <v>549</v>
      </c>
      <c r="M185" s="91"/>
      <c r="N185" s="92"/>
      <c r="O185" s="92"/>
      <c r="P185" s="92"/>
      <c r="Q185" s="92"/>
      <c r="R185" s="92"/>
      <c r="S185" s="91"/>
    </row>
    <row r="186" spans="2:19" s="77" customFormat="1" ht="13.5" customHeight="1" x14ac:dyDescent="0.2">
      <c r="B186" s="109" t="s">
        <v>550</v>
      </c>
      <c r="C186" s="32" t="s">
        <v>71</v>
      </c>
      <c r="D186" s="79">
        <f>SUM(D187:D191)</f>
        <v>269</v>
      </c>
      <c r="E186" s="79">
        <f t="shared" ref="E186:S186" si="7">SUM(E187:E191)</f>
        <v>155</v>
      </c>
      <c r="F186" s="97">
        <f t="shared" si="7"/>
        <v>0</v>
      </c>
      <c r="G186" s="97">
        <f t="shared" si="7"/>
        <v>0</v>
      </c>
      <c r="H186" s="97">
        <f t="shared" si="7"/>
        <v>0</v>
      </c>
      <c r="I186" s="79">
        <f t="shared" si="7"/>
        <v>114</v>
      </c>
      <c r="J186" s="110">
        <f t="shared" si="7"/>
        <v>0</v>
      </c>
      <c r="K186" s="97">
        <f t="shared" si="7"/>
        <v>0</v>
      </c>
      <c r="L186" s="79">
        <f t="shared" si="7"/>
        <v>17</v>
      </c>
      <c r="M186" s="79">
        <f t="shared" si="7"/>
        <v>9</v>
      </c>
      <c r="N186" s="79">
        <f t="shared" si="7"/>
        <v>2</v>
      </c>
      <c r="O186" s="97">
        <f t="shared" si="7"/>
        <v>0</v>
      </c>
      <c r="P186" s="97">
        <f t="shared" si="7"/>
        <v>0</v>
      </c>
      <c r="Q186" s="97">
        <f t="shared" si="7"/>
        <v>0</v>
      </c>
      <c r="R186" s="79">
        <f t="shared" si="7"/>
        <v>4</v>
      </c>
      <c r="S186" s="79">
        <f t="shared" si="7"/>
        <v>1</v>
      </c>
    </row>
    <row r="187" spans="2:19" s="77" customFormat="1" ht="13.5" customHeight="1" x14ac:dyDescent="0.2">
      <c r="B187" s="96" t="s">
        <v>551</v>
      </c>
      <c r="C187" s="32" t="s">
        <v>552</v>
      </c>
      <c r="D187" s="79">
        <f t="shared" ref="D187:D191" si="8">E187+F187+G187+H187+I187+J187+K187</f>
        <v>72</v>
      </c>
      <c r="E187" s="79">
        <v>72</v>
      </c>
      <c r="F187" s="97"/>
      <c r="G187" s="97"/>
      <c r="H187" s="97"/>
      <c r="I187" s="97"/>
      <c r="J187" s="110"/>
      <c r="K187" s="97"/>
      <c r="L187" s="87">
        <f>1</f>
        <v>1</v>
      </c>
      <c r="M187" s="87">
        <f>2</f>
        <v>2</v>
      </c>
      <c r="N187" s="88">
        <f>1</f>
        <v>1</v>
      </c>
      <c r="O187" s="92"/>
      <c r="P187" s="92"/>
      <c r="Q187" s="92"/>
      <c r="R187" s="88">
        <f>1+1</f>
        <v>2</v>
      </c>
      <c r="S187" s="87"/>
    </row>
    <row r="188" spans="2:19" s="77" customFormat="1" ht="13.5" customHeight="1" x14ac:dyDescent="0.2">
      <c r="B188" s="96" t="s">
        <v>553</v>
      </c>
      <c r="C188" s="32" t="s">
        <v>554</v>
      </c>
      <c r="D188" s="80">
        <f t="shared" si="8"/>
        <v>0</v>
      </c>
      <c r="E188" s="80"/>
      <c r="F188" s="80"/>
      <c r="G188" s="80"/>
      <c r="H188" s="80"/>
      <c r="I188" s="80"/>
      <c r="J188" s="32"/>
      <c r="K188" s="80"/>
      <c r="L188" s="93"/>
      <c r="M188" s="93"/>
      <c r="N188" s="94"/>
      <c r="O188" s="94"/>
      <c r="P188" s="94"/>
      <c r="Q188" s="94"/>
      <c r="R188" s="94"/>
      <c r="S188" s="91"/>
    </row>
    <row r="189" spans="2:19" s="77" customFormat="1" ht="13.5" customHeight="1" x14ac:dyDescent="0.2">
      <c r="B189" s="96" t="s">
        <v>555</v>
      </c>
      <c r="C189" s="32" t="s">
        <v>556</v>
      </c>
      <c r="D189" s="80">
        <f t="shared" si="8"/>
        <v>0</v>
      </c>
      <c r="E189" s="80"/>
      <c r="F189" s="80"/>
      <c r="G189" s="80"/>
      <c r="H189" s="80"/>
      <c r="I189" s="80"/>
      <c r="J189" s="32"/>
      <c r="K189" s="80"/>
      <c r="L189" s="93"/>
      <c r="M189" s="93"/>
      <c r="N189" s="94"/>
      <c r="O189" s="94"/>
      <c r="P189" s="94"/>
      <c r="Q189" s="94"/>
      <c r="R189" s="94"/>
      <c r="S189" s="91"/>
    </row>
    <row r="190" spans="2:19" s="77" customFormat="1" ht="13.5" customHeight="1" x14ac:dyDescent="0.2">
      <c r="B190" s="96" t="s">
        <v>557</v>
      </c>
      <c r="C190" s="32" t="s">
        <v>558</v>
      </c>
      <c r="D190" s="80">
        <f t="shared" si="8"/>
        <v>0</v>
      </c>
      <c r="E190" s="80"/>
      <c r="F190" s="80"/>
      <c r="G190" s="80"/>
      <c r="H190" s="80"/>
      <c r="I190" s="80"/>
      <c r="J190" s="32"/>
      <c r="K190" s="80"/>
      <c r="L190" s="93"/>
      <c r="M190" s="93"/>
      <c r="N190" s="93"/>
      <c r="O190" s="93"/>
      <c r="P190" s="93"/>
      <c r="Q190" s="93"/>
      <c r="R190" s="93"/>
      <c r="S190" s="91"/>
    </row>
    <row r="191" spans="2:19" s="77" customFormat="1" ht="13.5" customHeight="1" x14ac:dyDescent="0.2">
      <c r="B191" s="96" t="s">
        <v>559</v>
      </c>
      <c r="C191" s="32" t="s">
        <v>560</v>
      </c>
      <c r="D191" s="79">
        <f t="shared" si="8"/>
        <v>197</v>
      </c>
      <c r="E191" s="79">
        <v>83</v>
      </c>
      <c r="F191" s="97"/>
      <c r="G191" s="97"/>
      <c r="H191" s="97"/>
      <c r="I191" s="79">
        <v>114</v>
      </c>
      <c r="J191" s="110"/>
      <c r="K191" s="97"/>
      <c r="L191" s="87">
        <f>4+12</f>
        <v>16</v>
      </c>
      <c r="M191" s="87">
        <f>4+1+2</f>
        <v>7</v>
      </c>
      <c r="N191" s="88">
        <f>1</f>
        <v>1</v>
      </c>
      <c r="O191" s="92"/>
      <c r="P191" s="92"/>
      <c r="Q191" s="92"/>
      <c r="R191" s="88">
        <f>2</f>
        <v>2</v>
      </c>
      <c r="S191" s="87">
        <f>1</f>
        <v>1</v>
      </c>
    </row>
    <row r="192" spans="2:19" s="77" customFormat="1" ht="44.25" customHeight="1" x14ac:dyDescent="0.2">
      <c r="B192" s="111" t="s">
        <v>561</v>
      </c>
      <c r="C192" s="32" t="s">
        <v>72</v>
      </c>
      <c r="D192" s="79">
        <f>SUM(D194:D238)</f>
        <v>255</v>
      </c>
      <c r="E192" s="79">
        <f t="shared" ref="E192:S192" si="9">SUM(E194:E238)</f>
        <v>188</v>
      </c>
      <c r="F192" s="80">
        <f t="shared" si="9"/>
        <v>0</v>
      </c>
      <c r="G192" s="80">
        <f t="shared" si="9"/>
        <v>0</v>
      </c>
      <c r="H192" s="80">
        <f t="shared" si="9"/>
        <v>0</v>
      </c>
      <c r="I192" s="80">
        <f t="shared" si="9"/>
        <v>0</v>
      </c>
      <c r="J192" s="80">
        <f t="shared" si="9"/>
        <v>0</v>
      </c>
      <c r="K192" s="90">
        <f t="shared" si="9"/>
        <v>67</v>
      </c>
      <c r="L192" s="90">
        <f t="shared" si="9"/>
        <v>64</v>
      </c>
      <c r="M192" s="90">
        <f t="shared" si="9"/>
        <v>32</v>
      </c>
      <c r="N192" s="90">
        <f t="shared" si="9"/>
        <v>11</v>
      </c>
      <c r="O192" s="80">
        <f t="shared" si="9"/>
        <v>0</v>
      </c>
      <c r="P192" s="80">
        <f t="shared" si="9"/>
        <v>0</v>
      </c>
      <c r="Q192" s="80">
        <f t="shared" si="9"/>
        <v>0</v>
      </c>
      <c r="R192" s="79">
        <f t="shared" si="9"/>
        <v>30</v>
      </c>
      <c r="S192" s="79">
        <f t="shared" si="9"/>
        <v>10</v>
      </c>
    </row>
    <row r="193" spans="2:19" s="77" customFormat="1" ht="26.1" customHeight="1" x14ac:dyDescent="0.2">
      <c r="B193" s="86" t="s">
        <v>562</v>
      </c>
      <c r="C193" s="32" t="s">
        <v>563</v>
      </c>
      <c r="D193" s="80">
        <f t="shared" ref="D193:D238" si="10">E193+F193+G193+H193+I193+J193+K193</f>
        <v>0</v>
      </c>
      <c r="E193" s="80"/>
      <c r="F193" s="80"/>
      <c r="G193" s="80"/>
      <c r="H193" s="80"/>
      <c r="I193" s="80"/>
      <c r="J193" s="80"/>
      <c r="K193" s="80"/>
      <c r="L193" s="93"/>
      <c r="M193" s="93"/>
      <c r="N193" s="94"/>
      <c r="O193" s="94"/>
      <c r="P193" s="94"/>
      <c r="Q193" s="94"/>
      <c r="R193" s="94"/>
      <c r="S193" s="93"/>
    </row>
    <row r="194" spans="2:19" s="77" customFormat="1" ht="14.45" customHeight="1" x14ac:dyDescent="0.2">
      <c r="B194" s="96" t="s">
        <v>564</v>
      </c>
      <c r="C194" s="32" t="s">
        <v>565</v>
      </c>
      <c r="D194" s="80">
        <f t="shared" si="10"/>
        <v>0</v>
      </c>
      <c r="E194" s="80"/>
      <c r="F194" s="80"/>
      <c r="G194" s="80"/>
      <c r="H194" s="80"/>
      <c r="I194" s="80"/>
      <c r="J194" s="80"/>
      <c r="K194" s="80"/>
      <c r="L194" s="93"/>
      <c r="M194" s="93"/>
      <c r="N194" s="93"/>
      <c r="O194" s="93"/>
      <c r="P194" s="93"/>
      <c r="Q194" s="93"/>
      <c r="R194" s="93"/>
      <c r="S194" s="93"/>
    </row>
    <row r="195" spans="2:19" s="77" customFormat="1" ht="14.45" customHeight="1" x14ac:dyDescent="0.2">
      <c r="B195" s="96" t="s">
        <v>566</v>
      </c>
      <c r="C195" s="32" t="s">
        <v>567</v>
      </c>
      <c r="D195" s="80">
        <f t="shared" si="10"/>
        <v>0</v>
      </c>
      <c r="E195" s="80"/>
      <c r="F195" s="80"/>
      <c r="G195" s="80"/>
      <c r="H195" s="80"/>
      <c r="I195" s="80"/>
      <c r="J195" s="80"/>
      <c r="K195" s="80"/>
      <c r="L195" s="93"/>
      <c r="M195" s="93"/>
      <c r="N195" s="93"/>
      <c r="O195" s="93"/>
      <c r="P195" s="93"/>
      <c r="Q195" s="93"/>
      <c r="R195" s="93"/>
      <c r="S195" s="93"/>
    </row>
    <row r="196" spans="2:19" s="77" customFormat="1" ht="14.45" customHeight="1" x14ac:dyDescent="0.2">
      <c r="B196" s="96" t="s">
        <v>568</v>
      </c>
      <c r="C196" s="32" t="s">
        <v>569</v>
      </c>
      <c r="D196" s="79">
        <f t="shared" si="10"/>
        <v>12</v>
      </c>
      <c r="E196" s="79"/>
      <c r="F196" s="79"/>
      <c r="G196" s="79"/>
      <c r="H196" s="79"/>
      <c r="I196" s="79"/>
      <c r="J196" s="79"/>
      <c r="K196" s="79">
        <f>12</f>
        <v>12</v>
      </c>
      <c r="L196" s="87">
        <f>5</f>
        <v>5</v>
      </c>
      <c r="M196" s="87">
        <f>4</f>
        <v>4</v>
      </c>
      <c r="N196" s="87">
        <f>3</f>
        <v>3</v>
      </c>
      <c r="O196" s="87"/>
      <c r="P196" s="87"/>
      <c r="Q196" s="87"/>
      <c r="R196" s="87">
        <f>4</f>
        <v>4</v>
      </c>
      <c r="S196" s="87">
        <f>1</f>
        <v>1</v>
      </c>
    </row>
    <row r="197" spans="2:19" s="77" customFormat="1" ht="13.5" customHeight="1" x14ac:dyDescent="0.2">
      <c r="B197" s="96" t="s">
        <v>350</v>
      </c>
      <c r="C197" s="32" t="s">
        <v>570</v>
      </c>
      <c r="D197" s="90">
        <f t="shared" si="10"/>
        <v>0</v>
      </c>
      <c r="E197" s="90"/>
      <c r="F197" s="90"/>
      <c r="G197" s="90"/>
      <c r="H197" s="90"/>
      <c r="I197" s="90"/>
      <c r="J197" s="90"/>
      <c r="K197" s="90"/>
      <c r="L197" s="98"/>
      <c r="M197" s="98"/>
      <c r="N197" s="98"/>
      <c r="O197" s="98"/>
      <c r="P197" s="98"/>
      <c r="Q197" s="98"/>
      <c r="R197" s="98"/>
      <c r="S197" s="98"/>
    </row>
    <row r="198" spans="2:19" s="77" customFormat="1" ht="12" customHeight="1" x14ac:dyDescent="0.2">
      <c r="B198" s="96" t="s">
        <v>571</v>
      </c>
      <c r="C198" s="32" t="s">
        <v>572</v>
      </c>
      <c r="D198" s="80">
        <f t="shared" si="10"/>
        <v>0</v>
      </c>
      <c r="E198" s="80"/>
      <c r="F198" s="80"/>
      <c r="G198" s="80"/>
      <c r="H198" s="80"/>
      <c r="I198" s="80"/>
      <c r="J198" s="80"/>
      <c r="K198" s="80"/>
      <c r="L198" s="93"/>
      <c r="M198" s="93"/>
      <c r="N198" s="93"/>
      <c r="O198" s="93"/>
      <c r="P198" s="93"/>
      <c r="Q198" s="93"/>
      <c r="R198" s="93"/>
      <c r="S198" s="93"/>
    </row>
    <row r="199" spans="2:19" s="77" customFormat="1" ht="12" customHeight="1" x14ac:dyDescent="0.2">
      <c r="B199" s="96" t="s">
        <v>573</v>
      </c>
      <c r="C199" s="32" t="s">
        <v>574</v>
      </c>
      <c r="D199" s="80">
        <f t="shared" si="10"/>
        <v>0</v>
      </c>
      <c r="E199" s="80"/>
      <c r="F199" s="80"/>
      <c r="G199" s="80"/>
      <c r="H199" s="80"/>
      <c r="I199" s="80"/>
      <c r="J199" s="80"/>
      <c r="K199" s="80"/>
      <c r="L199" s="93"/>
      <c r="M199" s="93"/>
      <c r="N199" s="93"/>
      <c r="O199" s="93"/>
      <c r="P199" s="93"/>
      <c r="Q199" s="93"/>
      <c r="R199" s="93"/>
      <c r="S199" s="93"/>
    </row>
    <row r="200" spans="2:19" s="77" customFormat="1" ht="15" customHeight="1" x14ac:dyDescent="0.2">
      <c r="B200" s="96" t="s">
        <v>358</v>
      </c>
      <c r="C200" s="32" t="s">
        <v>575</v>
      </c>
      <c r="D200" s="80">
        <f t="shared" si="10"/>
        <v>0</v>
      </c>
      <c r="E200" s="80"/>
      <c r="F200" s="80"/>
      <c r="G200" s="80"/>
      <c r="H200" s="80"/>
      <c r="I200" s="80"/>
      <c r="J200" s="80"/>
      <c r="K200" s="80"/>
      <c r="L200" s="93"/>
      <c r="M200" s="93"/>
      <c r="N200" s="94"/>
      <c r="O200" s="94"/>
      <c r="P200" s="94"/>
      <c r="Q200" s="94"/>
      <c r="R200" s="94"/>
      <c r="S200" s="93"/>
    </row>
    <row r="201" spans="2:19" s="77" customFormat="1" ht="13.5" customHeight="1" x14ac:dyDescent="0.2">
      <c r="B201" s="96" t="s">
        <v>576</v>
      </c>
      <c r="C201" s="32" t="s">
        <v>577</v>
      </c>
      <c r="D201" s="79">
        <f t="shared" si="10"/>
        <v>10</v>
      </c>
      <c r="E201" s="79"/>
      <c r="F201" s="79"/>
      <c r="G201" s="79"/>
      <c r="H201" s="79"/>
      <c r="I201" s="79"/>
      <c r="J201" s="79"/>
      <c r="K201" s="79">
        <f>10</f>
        <v>10</v>
      </c>
      <c r="L201" s="87">
        <f>2</f>
        <v>2</v>
      </c>
      <c r="M201" s="87">
        <f>1</f>
        <v>1</v>
      </c>
      <c r="N201" s="87"/>
      <c r="O201" s="87"/>
      <c r="P201" s="87"/>
      <c r="Q201" s="87"/>
      <c r="R201" s="87">
        <f>1</f>
        <v>1</v>
      </c>
      <c r="S201" s="87"/>
    </row>
    <row r="202" spans="2:19" s="77" customFormat="1" ht="21" customHeight="1" x14ac:dyDescent="0.2">
      <c r="B202" s="112" t="s">
        <v>578</v>
      </c>
      <c r="C202" s="32" t="s">
        <v>579</v>
      </c>
      <c r="D202" s="80">
        <f t="shared" si="10"/>
        <v>0</v>
      </c>
      <c r="E202" s="80"/>
      <c r="F202" s="80"/>
      <c r="G202" s="80"/>
      <c r="H202" s="80"/>
      <c r="I202" s="80"/>
      <c r="J202" s="80"/>
      <c r="K202" s="80"/>
      <c r="L202" s="93"/>
      <c r="M202" s="93"/>
      <c r="N202" s="93"/>
      <c r="O202" s="93"/>
      <c r="P202" s="93"/>
      <c r="Q202" s="93"/>
      <c r="R202" s="93"/>
      <c r="S202" s="93"/>
    </row>
    <row r="203" spans="2:19" s="77" customFormat="1" ht="21.75" customHeight="1" x14ac:dyDescent="0.2">
      <c r="B203" s="112" t="s">
        <v>580</v>
      </c>
      <c r="C203" s="32" t="s">
        <v>581</v>
      </c>
      <c r="D203" s="80">
        <f t="shared" si="10"/>
        <v>0</v>
      </c>
      <c r="E203" s="80"/>
      <c r="F203" s="80"/>
      <c r="G203" s="80"/>
      <c r="H203" s="80"/>
      <c r="I203" s="80"/>
      <c r="J203" s="80"/>
      <c r="K203" s="80"/>
      <c r="L203" s="93"/>
      <c r="M203" s="93"/>
      <c r="N203" s="93"/>
      <c r="O203" s="93"/>
      <c r="P203" s="93"/>
      <c r="Q203" s="93"/>
      <c r="R203" s="93"/>
      <c r="S203" s="93"/>
    </row>
    <row r="204" spans="2:19" s="77" customFormat="1" ht="12" customHeight="1" x14ac:dyDescent="0.2">
      <c r="B204" s="96" t="s">
        <v>248</v>
      </c>
      <c r="C204" s="32" t="s">
        <v>582</v>
      </c>
      <c r="D204" s="80">
        <f t="shared" si="10"/>
        <v>0</v>
      </c>
      <c r="E204" s="80"/>
      <c r="F204" s="80"/>
      <c r="G204" s="80"/>
      <c r="H204" s="80"/>
      <c r="I204" s="80"/>
      <c r="J204" s="80"/>
      <c r="K204" s="80"/>
      <c r="L204" s="93"/>
      <c r="M204" s="93"/>
      <c r="N204" s="93"/>
      <c r="O204" s="93"/>
      <c r="P204" s="93"/>
      <c r="Q204" s="93"/>
      <c r="R204" s="93"/>
      <c r="S204" s="93"/>
    </row>
    <row r="205" spans="2:19" s="77" customFormat="1" ht="12" customHeight="1" x14ac:dyDescent="0.2">
      <c r="B205" s="96" t="s">
        <v>251</v>
      </c>
      <c r="C205" s="32" t="s">
        <v>583</v>
      </c>
      <c r="D205" s="80">
        <f t="shared" si="10"/>
        <v>0</v>
      </c>
      <c r="E205" s="80"/>
      <c r="F205" s="80"/>
      <c r="G205" s="80"/>
      <c r="H205" s="80"/>
      <c r="I205" s="80"/>
      <c r="J205" s="80"/>
      <c r="K205" s="80"/>
      <c r="L205" s="93"/>
      <c r="M205" s="93"/>
      <c r="N205" s="93"/>
      <c r="O205" s="93"/>
      <c r="P205" s="93"/>
      <c r="Q205" s="93"/>
      <c r="R205" s="93"/>
      <c r="S205" s="93"/>
    </row>
    <row r="206" spans="2:19" s="77" customFormat="1" ht="12" customHeight="1" x14ac:dyDescent="0.2">
      <c r="B206" s="96" t="s">
        <v>584</v>
      </c>
      <c r="C206" s="32" t="s">
        <v>585</v>
      </c>
      <c r="D206" s="80">
        <f t="shared" si="10"/>
        <v>0</v>
      </c>
      <c r="E206" s="80"/>
      <c r="F206" s="80"/>
      <c r="G206" s="80"/>
      <c r="H206" s="80"/>
      <c r="I206" s="80"/>
      <c r="J206" s="80"/>
      <c r="K206" s="80"/>
      <c r="L206" s="93"/>
      <c r="M206" s="93"/>
      <c r="N206" s="94"/>
      <c r="O206" s="94"/>
      <c r="P206" s="94"/>
      <c r="Q206" s="94"/>
      <c r="R206" s="94"/>
      <c r="S206" s="93"/>
    </row>
    <row r="207" spans="2:19" s="77" customFormat="1" ht="12" customHeight="1" x14ac:dyDescent="0.2">
      <c r="B207" s="96" t="s">
        <v>255</v>
      </c>
      <c r="C207" s="32" t="s">
        <v>586</v>
      </c>
      <c r="D207" s="80">
        <f t="shared" si="10"/>
        <v>0</v>
      </c>
      <c r="E207" s="80"/>
      <c r="F207" s="80"/>
      <c r="G207" s="80"/>
      <c r="H207" s="80"/>
      <c r="I207" s="80"/>
      <c r="J207" s="80"/>
      <c r="K207" s="80"/>
      <c r="L207" s="93"/>
      <c r="M207" s="93"/>
      <c r="N207" s="94"/>
      <c r="O207" s="94"/>
      <c r="P207" s="94"/>
      <c r="Q207" s="94"/>
      <c r="R207" s="94"/>
      <c r="S207" s="93"/>
    </row>
    <row r="208" spans="2:19" s="77" customFormat="1" ht="21.75" customHeight="1" x14ac:dyDescent="0.2">
      <c r="B208" s="112" t="s">
        <v>587</v>
      </c>
      <c r="C208" s="32" t="s">
        <v>588</v>
      </c>
      <c r="D208" s="80">
        <f t="shared" si="10"/>
        <v>0</v>
      </c>
      <c r="E208" s="80"/>
      <c r="F208" s="80"/>
      <c r="G208" s="80"/>
      <c r="H208" s="80"/>
      <c r="I208" s="80"/>
      <c r="J208" s="80"/>
      <c r="K208" s="80"/>
      <c r="L208" s="93"/>
      <c r="M208" s="93"/>
      <c r="N208" s="94"/>
      <c r="O208" s="94"/>
      <c r="P208" s="94"/>
      <c r="Q208" s="94"/>
      <c r="R208" s="94"/>
      <c r="S208" s="93"/>
    </row>
    <row r="209" spans="2:19" s="77" customFormat="1" ht="12" customHeight="1" x14ac:dyDescent="0.2">
      <c r="B209" s="96" t="s">
        <v>589</v>
      </c>
      <c r="C209" s="32" t="s">
        <v>590</v>
      </c>
      <c r="D209" s="80">
        <f t="shared" si="10"/>
        <v>0</v>
      </c>
      <c r="E209" s="80"/>
      <c r="F209" s="80"/>
      <c r="G209" s="80"/>
      <c r="H209" s="80"/>
      <c r="I209" s="80"/>
      <c r="J209" s="80"/>
      <c r="K209" s="80"/>
      <c r="L209" s="93"/>
      <c r="M209" s="93"/>
      <c r="N209" s="94"/>
      <c r="O209" s="94"/>
      <c r="P209" s="94"/>
      <c r="Q209" s="94"/>
      <c r="R209" s="94"/>
      <c r="S209" s="93"/>
    </row>
    <row r="210" spans="2:19" s="77" customFormat="1" ht="12" customHeight="1" x14ac:dyDescent="0.2">
      <c r="B210" s="96" t="s">
        <v>263</v>
      </c>
      <c r="C210" s="32" t="s">
        <v>591</v>
      </c>
      <c r="D210" s="80">
        <f t="shared" si="10"/>
        <v>0</v>
      </c>
      <c r="E210" s="80"/>
      <c r="F210" s="80"/>
      <c r="G210" s="80"/>
      <c r="H210" s="80"/>
      <c r="I210" s="80"/>
      <c r="J210" s="80"/>
      <c r="K210" s="80"/>
      <c r="L210" s="93"/>
      <c r="M210" s="93"/>
      <c r="N210" s="94"/>
      <c r="O210" s="94"/>
      <c r="P210" s="94"/>
      <c r="Q210" s="94"/>
      <c r="R210" s="94"/>
      <c r="S210" s="93"/>
    </row>
    <row r="211" spans="2:19" s="77" customFormat="1" ht="12" customHeight="1" x14ac:dyDescent="0.2">
      <c r="B211" s="96" t="s">
        <v>265</v>
      </c>
      <c r="C211" s="32" t="s">
        <v>592</v>
      </c>
      <c r="D211" s="80">
        <f t="shared" si="10"/>
        <v>0</v>
      </c>
      <c r="E211" s="80"/>
      <c r="F211" s="80"/>
      <c r="G211" s="80"/>
      <c r="H211" s="80"/>
      <c r="I211" s="80"/>
      <c r="J211" s="80"/>
      <c r="K211" s="80"/>
      <c r="L211" s="93"/>
      <c r="M211" s="93"/>
      <c r="N211" s="94"/>
      <c r="O211" s="94"/>
      <c r="P211" s="94"/>
      <c r="Q211" s="94"/>
      <c r="R211" s="94"/>
      <c r="S211" s="93"/>
    </row>
    <row r="212" spans="2:19" s="77" customFormat="1" ht="12" customHeight="1" x14ac:dyDescent="0.2">
      <c r="B212" s="96" t="s">
        <v>593</v>
      </c>
      <c r="C212" s="32" t="s">
        <v>594</v>
      </c>
      <c r="D212" s="80">
        <f t="shared" si="10"/>
        <v>0</v>
      </c>
      <c r="E212" s="80"/>
      <c r="F212" s="80"/>
      <c r="G212" s="80"/>
      <c r="H212" s="80"/>
      <c r="I212" s="80"/>
      <c r="J212" s="80"/>
      <c r="K212" s="80"/>
      <c r="L212" s="93"/>
      <c r="M212" s="93"/>
      <c r="N212" s="94"/>
      <c r="O212" s="94"/>
      <c r="P212" s="94"/>
      <c r="Q212" s="94"/>
      <c r="R212" s="94"/>
      <c r="S212" s="93"/>
    </row>
    <row r="213" spans="2:19" s="77" customFormat="1" ht="12" customHeight="1" x14ac:dyDescent="0.2">
      <c r="B213" s="96" t="s">
        <v>595</v>
      </c>
      <c r="C213" s="32" t="s">
        <v>596</v>
      </c>
      <c r="D213" s="80">
        <f t="shared" si="10"/>
        <v>0</v>
      </c>
      <c r="E213" s="80"/>
      <c r="F213" s="80"/>
      <c r="G213" s="80"/>
      <c r="H213" s="80"/>
      <c r="I213" s="80"/>
      <c r="J213" s="80"/>
      <c r="K213" s="80"/>
      <c r="L213" s="93"/>
      <c r="M213" s="93"/>
      <c r="N213" s="94"/>
      <c r="O213" s="94"/>
      <c r="P213" s="94"/>
      <c r="Q213" s="94"/>
      <c r="R213" s="94"/>
      <c r="S213" s="93"/>
    </row>
    <row r="214" spans="2:19" s="77" customFormat="1" ht="12" customHeight="1" x14ac:dyDescent="0.2">
      <c r="B214" s="96" t="s">
        <v>597</v>
      </c>
      <c r="C214" s="32" t="s">
        <v>598</v>
      </c>
      <c r="D214" s="80">
        <f t="shared" si="10"/>
        <v>0</v>
      </c>
      <c r="E214" s="80"/>
      <c r="F214" s="80"/>
      <c r="G214" s="80"/>
      <c r="H214" s="80"/>
      <c r="I214" s="80"/>
      <c r="J214" s="80"/>
      <c r="K214" s="80"/>
      <c r="L214" s="93"/>
      <c r="M214" s="93"/>
      <c r="N214" s="94"/>
      <c r="O214" s="94"/>
      <c r="P214" s="94"/>
      <c r="Q214" s="94"/>
      <c r="R214" s="94"/>
      <c r="S214" s="93"/>
    </row>
    <row r="215" spans="2:19" s="77" customFormat="1" ht="12" customHeight="1" x14ac:dyDescent="0.2">
      <c r="B215" s="96" t="s">
        <v>599</v>
      </c>
      <c r="C215" s="32" t="s">
        <v>600</v>
      </c>
      <c r="D215" s="80">
        <f t="shared" si="10"/>
        <v>0</v>
      </c>
      <c r="E215" s="80"/>
      <c r="F215" s="80"/>
      <c r="G215" s="80"/>
      <c r="H215" s="80"/>
      <c r="I215" s="80"/>
      <c r="J215" s="80"/>
      <c r="K215" s="80"/>
      <c r="L215" s="93"/>
      <c r="M215" s="93"/>
      <c r="N215" s="94"/>
      <c r="O215" s="94"/>
      <c r="P215" s="94"/>
      <c r="Q215" s="94"/>
      <c r="R215" s="94"/>
      <c r="S215" s="93"/>
    </row>
    <row r="216" spans="2:19" s="77" customFormat="1" ht="12" customHeight="1" x14ac:dyDescent="0.2">
      <c r="B216" s="96" t="s">
        <v>601</v>
      </c>
      <c r="C216" s="32" t="s">
        <v>602</v>
      </c>
      <c r="D216" s="79">
        <f t="shared" si="10"/>
        <v>53</v>
      </c>
      <c r="E216" s="79">
        <v>53</v>
      </c>
      <c r="F216" s="79"/>
      <c r="G216" s="79"/>
      <c r="H216" s="79"/>
      <c r="I216" s="79"/>
      <c r="J216" s="79"/>
      <c r="K216" s="79"/>
      <c r="L216" s="87">
        <f>14</f>
        <v>14</v>
      </c>
      <c r="M216" s="87">
        <f>6</f>
        <v>6</v>
      </c>
      <c r="N216" s="88"/>
      <c r="O216" s="88"/>
      <c r="P216" s="88"/>
      <c r="Q216" s="88"/>
      <c r="R216" s="88">
        <f>6</f>
        <v>6</v>
      </c>
      <c r="S216" s="87">
        <f>3</f>
        <v>3</v>
      </c>
    </row>
    <row r="217" spans="2:19" s="77" customFormat="1" ht="12" customHeight="1" x14ac:dyDescent="0.2">
      <c r="B217" s="96" t="s">
        <v>603</v>
      </c>
      <c r="C217" s="32" t="s">
        <v>604</v>
      </c>
      <c r="D217" s="79">
        <f t="shared" si="10"/>
        <v>12</v>
      </c>
      <c r="E217" s="79">
        <v>4</v>
      </c>
      <c r="F217" s="79"/>
      <c r="G217" s="79"/>
      <c r="H217" s="79"/>
      <c r="I217" s="79"/>
      <c r="J217" s="79"/>
      <c r="K217" s="79">
        <f>8</f>
        <v>8</v>
      </c>
      <c r="L217" s="87">
        <f>2+1</f>
        <v>3</v>
      </c>
      <c r="M217" s="87">
        <f>1+2</f>
        <v>3</v>
      </c>
      <c r="N217" s="88"/>
      <c r="O217" s="88"/>
      <c r="P217" s="88"/>
      <c r="Q217" s="88"/>
      <c r="R217" s="88">
        <f>2</f>
        <v>2</v>
      </c>
      <c r="S217" s="87">
        <f>1</f>
        <v>1</v>
      </c>
    </row>
    <row r="218" spans="2:19" s="77" customFormat="1" ht="12" customHeight="1" x14ac:dyDescent="0.2">
      <c r="B218" s="106" t="s">
        <v>605</v>
      </c>
      <c r="C218" s="32" t="s">
        <v>606</v>
      </c>
      <c r="D218" s="80">
        <f t="shared" si="10"/>
        <v>0</v>
      </c>
      <c r="E218" s="80"/>
      <c r="F218" s="80"/>
      <c r="G218" s="80"/>
      <c r="H218" s="80"/>
      <c r="I218" s="80"/>
      <c r="J218" s="80"/>
      <c r="K218" s="80"/>
      <c r="L218" s="93"/>
      <c r="M218" s="93"/>
      <c r="N218" s="94"/>
      <c r="O218" s="94"/>
      <c r="P218" s="94"/>
      <c r="Q218" s="94"/>
      <c r="R218" s="94"/>
      <c r="S218" s="93"/>
    </row>
    <row r="219" spans="2:19" s="77" customFormat="1" ht="12" customHeight="1" x14ac:dyDescent="0.2">
      <c r="B219" s="96" t="s">
        <v>607</v>
      </c>
      <c r="C219" s="32" t="s">
        <v>608</v>
      </c>
      <c r="D219" s="80">
        <f t="shared" si="10"/>
        <v>0</v>
      </c>
      <c r="E219" s="80"/>
      <c r="F219" s="80"/>
      <c r="G219" s="80"/>
      <c r="H219" s="80"/>
      <c r="I219" s="80"/>
      <c r="J219" s="80"/>
      <c r="K219" s="80"/>
      <c r="L219" s="93"/>
      <c r="M219" s="93"/>
      <c r="N219" s="94"/>
      <c r="O219" s="94"/>
      <c r="P219" s="94"/>
      <c r="Q219" s="94"/>
      <c r="R219" s="94"/>
      <c r="S219" s="93"/>
    </row>
    <row r="220" spans="2:19" s="77" customFormat="1" ht="12" customHeight="1" x14ac:dyDescent="0.2">
      <c r="B220" s="96" t="s">
        <v>609</v>
      </c>
      <c r="C220" s="32" t="s">
        <v>610</v>
      </c>
      <c r="D220" s="79">
        <f t="shared" si="10"/>
        <v>5</v>
      </c>
      <c r="E220" s="83"/>
      <c r="F220" s="83"/>
      <c r="G220" s="83"/>
      <c r="H220" s="83"/>
      <c r="I220" s="83"/>
      <c r="J220" s="83"/>
      <c r="K220" s="83">
        <f>5</f>
        <v>5</v>
      </c>
      <c r="L220" s="113">
        <f>3</f>
        <v>3</v>
      </c>
      <c r="M220" s="113">
        <f>1</f>
        <v>1</v>
      </c>
      <c r="N220" s="114">
        <f>1</f>
        <v>1</v>
      </c>
      <c r="O220" s="114"/>
      <c r="P220" s="114"/>
      <c r="Q220" s="114"/>
      <c r="R220" s="114">
        <f>1</f>
        <v>1</v>
      </c>
      <c r="S220" s="87">
        <f>1</f>
        <v>1</v>
      </c>
    </row>
    <row r="221" spans="2:19" s="77" customFormat="1" ht="12" customHeight="1" x14ac:dyDescent="0.2">
      <c r="B221" s="106" t="s">
        <v>611</v>
      </c>
      <c r="C221" s="32" t="s">
        <v>612</v>
      </c>
      <c r="D221" s="80">
        <f t="shared" si="10"/>
        <v>0</v>
      </c>
      <c r="E221" s="80"/>
      <c r="F221" s="80"/>
      <c r="G221" s="80"/>
      <c r="H221" s="80"/>
      <c r="I221" s="80"/>
      <c r="J221" s="80"/>
      <c r="K221" s="80"/>
      <c r="L221" s="93"/>
      <c r="M221" s="93"/>
      <c r="N221" s="94"/>
      <c r="O221" s="94"/>
      <c r="P221" s="94"/>
      <c r="Q221" s="94"/>
      <c r="R221" s="94"/>
      <c r="S221" s="93"/>
    </row>
    <row r="222" spans="2:19" s="77" customFormat="1" ht="12" customHeight="1" x14ac:dyDescent="0.2">
      <c r="B222" s="96" t="s">
        <v>613</v>
      </c>
      <c r="C222" s="32" t="s">
        <v>614</v>
      </c>
      <c r="D222" s="80">
        <f t="shared" si="10"/>
        <v>0</v>
      </c>
      <c r="E222" s="80"/>
      <c r="F222" s="80"/>
      <c r="G222" s="80"/>
      <c r="H222" s="80"/>
      <c r="I222" s="80"/>
      <c r="J222" s="80"/>
      <c r="K222" s="80"/>
      <c r="L222" s="93"/>
      <c r="M222" s="93"/>
      <c r="N222" s="94"/>
      <c r="O222" s="94"/>
      <c r="P222" s="94"/>
      <c r="Q222" s="94"/>
      <c r="R222" s="94"/>
      <c r="S222" s="93"/>
    </row>
    <row r="223" spans="2:19" s="77" customFormat="1" ht="12" customHeight="1" x14ac:dyDescent="0.2">
      <c r="B223" s="96" t="s">
        <v>615</v>
      </c>
      <c r="C223" s="32" t="s">
        <v>616</v>
      </c>
      <c r="D223" s="79">
        <f t="shared" si="10"/>
        <v>32</v>
      </c>
      <c r="E223" s="79">
        <v>32</v>
      </c>
      <c r="F223" s="79"/>
      <c r="G223" s="79"/>
      <c r="H223" s="79"/>
      <c r="I223" s="79"/>
      <c r="J223" s="79"/>
      <c r="K223" s="79"/>
      <c r="L223" s="87">
        <f>6</f>
        <v>6</v>
      </c>
      <c r="M223" s="87">
        <f>3</f>
        <v>3</v>
      </c>
      <c r="N223" s="88">
        <f>3</f>
        <v>3</v>
      </c>
      <c r="O223" s="88"/>
      <c r="P223" s="88"/>
      <c r="Q223" s="88"/>
      <c r="R223" s="88">
        <f>3</f>
        <v>3</v>
      </c>
      <c r="S223" s="87"/>
    </row>
    <row r="224" spans="2:19" s="77" customFormat="1" ht="12" customHeight="1" x14ac:dyDescent="0.2">
      <c r="B224" s="96" t="s">
        <v>617</v>
      </c>
      <c r="C224" s="32" t="s">
        <v>618</v>
      </c>
      <c r="D224" s="80">
        <f t="shared" si="10"/>
        <v>0</v>
      </c>
      <c r="E224" s="80"/>
      <c r="F224" s="80"/>
      <c r="G224" s="80"/>
      <c r="H224" s="80"/>
      <c r="I224" s="80"/>
      <c r="J224" s="80"/>
      <c r="K224" s="80"/>
      <c r="L224" s="93"/>
      <c r="M224" s="93"/>
      <c r="N224" s="94"/>
      <c r="O224" s="94"/>
      <c r="P224" s="94"/>
      <c r="Q224" s="94"/>
      <c r="R224" s="94"/>
      <c r="S224" s="93"/>
    </row>
    <row r="225" spans="2:19" s="77" customFormat="1" ht="12" customHeight="1" x14ac:dyDescent="0.2">
      <c r="B225" s="96" t="s">
        <v>619</v>
      </c>
      <c r="C225" s="32" t="s">
        <v>620</v>
      </c>
      <c r="D225" s="80">
        <f t="shared" si="10"/>
        <v>0</v>
      </c>
      <c r="E225" s="80"/>
      <c r="F225" s="80"/>
      <c r="G225" s="80"/>
      <c r="H225" s="80"/>
      <c r="I225" s="80"/>
      <c r="J225" s="80"/>
      <c r="K225" s="80"/>
      <c r="L225" s="93"/>
      <c r="M225" s="93"/>
      <c r="N225" s="94"/>
      <c r="O225" s="94"/>
      <c r="P225" s="94"/>
      <c r="Q225" s="94"/>
      <c r="R225" s="94"/>
      <c r="S225" s="93"/>
    </row>
    <row r="226" spans="2:19" s="77" customFormat="1" ht="12" customHeight="1" x14ac:dyDescent="0.2">
      <c r="B226" s="96" t="s">
        <v>481</v>
      </c>
      <c r="C226" s="32" t="s">
        <v>621</v>
      </c>
      <c r="D226" s="80">
        <f t="shared" si="10"/>
        <v>0</v>
      </c>
      <c r="E226" s="80"/>
      <c r="F226" s="80"/>
      <c r="G226" s="80"/>
      <c r="H226" s="80"/>
      <c r="I226" s="80"/>
      <c r="J226" s="80"/>
      <c r="K226" s="80"/>
      <c r="L226" s="93"/>
      <c r="M226" s="93"/>
      <c r="N226" s="94"/>
      <c r="O226" s="94"/>
      <c r="P226" s="94"/>
      <c r="Q226" s="94"/>
      <c r="R226" s="94"/>
      <c r="S226" s="93"/>
    </row>
    <row r="227" spans="2:19" s="77" customFormat="1" ht="12" customHeight="1" x14ac:dyDescent="0.2">
      <c r="B227" s="96" t="s">
        <v>497</v>
      </c>
      <c r="C227" s="32" t="s">
        <v>622</v>
      </c>
      <c r="D227" s="80">
        <f t="shared" si="10"/>
        <v>0</v>
      </c>
      <c r="E227" s="80"/>
      <c r="F227" s="80"/>
      <c r="G227" s="80"/>
      <c r="H227" s="80"/>
      <c r="I227" s="80"/>
      <c r="J227" s="80"/>
      <c r="K227" s="80"/>
      <c r="L227" s="93"/>
      <c r="M227" s="93"/>
      <c r="N227" s="94"/>
      <c r="O227" s="94"/>
      <c r="P227" s="94"/>
      <c r="Q227" s="94"/>
      <c r="R227" s="94"/>
      <c r="S227" s="93"/>
    </row>
    <row r="228" spans="2:19" s="77" customFormat="1" ht="12" customHeight="1" x14ac:dyDescent="0.2">
      <c r="B228" s="96" t="s">
        <v>623</v>
      </c>
      <c r="C228" s="32" t="s">
        <v>624</v>
      </c>
      <c r="D228" s="80">
        <f t="shared" si="10"/>
        <v>0</v>
      </c>
      <c r="E228" s="80"/>
      <c r="F228" s="80"/>
      <c r="G228" s="80"/>
      <c r="H228" s="80"/>
      <c r="I228" s="80"/>
      <c r="J228" s="80"/>
      <c r="K228" s="80"/>
      <c r="L228" s="93"/>
      <c r="M228" s="93"/>
      <c r="N228" s="94"/>
      <c r="O228" s="94"/>
      <c r="P228" s="94"/>
      <c r="Q228" s="94"/>
      <c r="R228" s="94"/>
      <c r="S228" s="93"/>
    </row>
    <row r="229" spans="2:19" s="77" customFormat="1" ht="12" customHeight="1" x14ac:dyDescent="0.2">
      <c r="B229" s="96" t="s">
        <v>625</v>
      </c>
      <c r="C229" s="32" t="s">
        <v>626</v>
      </c>
      <c r="D229" s="79">
        <f t="shared" si="10"/>
        <v>18</v>
      </c>
      <c r="E229" s="79">
        <v>18</v>
      </c>
      <c r="F229" s="79"/>
      <c r="G229" s="79"/>
      <c r="H229" s="79"/>
      <c r="I229" s="79"/>
      <c r="J229" s="79"/>
      <c r="K229" s="79"/>
      <c r="L229" s="87">
        <f>6</f>
        <v>6</v>
      </c>
      <c r="M229" s="87">
        <f>3</f>
        <v>3</v>
      </c>
      <c r="N229" s="88">
        <f>1</f>
        <v>1</v>
      </c>
      <c r="O229" s="88"/>
      <c r="P229" s="88"/>
      <c r="Q229" s="88"/>
      <c r="R229" s="88">
        <f>1+2</f>
        <v>3</v>
      </c>
      <c r="S229" s="87">
        <f>1+2</f>
        <v>3</v>
      </c>
    </row>
    <row r="230" spans="2:19" s="77" customFormat="1" ht="12" customHeight="1" x14ac:dyDescent="0.2">
      <c r="B230" s="96" t="s">
        <v>315</v>
      </c>
      <c r="C230" s="32" t="s">
        <v>627</v>
      </c>
      <c r="D230" s="80">
        <f t="shared" si="10"/>
        <v>0</v>
      </c>
      <c r="E230" s="80"/>
      <c r="F230" s="80"/>
      <c r="G230" s="80"/>
      <c r="H230" s="80"/>
      <c r="I230" s="80"/>
      <c r="J230" s="80"/>
      <c r="K230" s="80"/>
      <c r="L230" s="93"/>
      <c r="M230" s="93"/>
      <c r="N230" s="94"/>
      <c r="O230" s="94"/>
      <c r="P230" s="94"/>
      <c r="Q230" s="94"/>
      <c r="R230" s="94"/>
      <c r="S230" s="93"/>
    </row>
    <row r="231" spans="2:19" s="77" customFormat="1" ht="12" customHeight="1" x14ac:dyDescent="0.2">
      <c r="B231" s="96" t="s">
        <v>628</v>
      </c>
      <c r="C231" s="32" t="s">
        <v>629</v>
      </c>
      <c r="D231" s="80">
        <f t="shared" si="10"/>
        <v>0</v>
      </c>
      <c r="E231" s="80"/>
      <c r="F231" s="80"/>
      <c r="G231" s="80"/>
      <c r="H231" s="80"/>
      <c r="I231" s="80"/>
      <c r="J231" s="80"/>
      <c r="K231" s="80"/>
      <c r="L231" s="93"/>
      <c r="M231" s="93"/>
      <c r="N231" s="94"/>
      <c r="O231" s="94"/>
      <c r="P231" s="94"/>
      <c r="Q231" s="94"/>
      <c r="R231" s="94"/>
      <c r="S231" s="93"/>
    </row>
    <row r="232" spans="2:19" s="77" customFormat="1" ht="12" customHeight="1" x14ac:dyDescent="0.2">
      <c r="B232" s="96" t="s">
        <v>630</v>
      </c>
      <c r="C232" s="32" t="s">
        <v>631</v>
      </c>
      <c r="D232" s="79">
        <f t="shared" si="10"/>
        <v>34</v>
      </c>
      <c r="E232" s="79">
        <v>34</v>
      </c>
      <c r="F232" s="79"/>
      <c r="G232" s="79"/>
      <c r="H232" s="79"/>
      <c r="I232" s="79"/>
      <c r="J232" s="79"/>
      <c r="K232" s="79"/>
      <c r="L232" s="87">
        <f>17</f>
        <v>17</v>
      </c>
      <c r="M232" s="87">
        <f>4</f>
        <v>4</v>
      </c>
      <c r="N232" s="88">
        <f>1</f>
        <v>1</v>
      </c>
      <c r="O232" s="88"/>
      <c r="P232" s="88"/>
      <c r="Q232" s="88"/>
      <c r="R232" s="88">
        <f>1+3</f>
        <v>4</v>
      </c>
      <c r="S232" s="87"/>
    </row>
    <row r="233" spans="2:19" s="77" customFormat="1" ht="12" customHeight="1" x14ac:dyDescent="0.2">
      <c r="B233" s="96" t="s">
        <v>632</v>
      </c>
      <c r="C233" s="32" t="s">
        <v>633</v>
      </c>
      <c r="D233" s="80">
        <f t="shared" si="10"/>
        <v>0</v>
      </c>
      <c r="E233" s="80"/>
      <c r="F233" s="80"/>
      <c r="G233" s="80"/>
      <c r="H233" s="80"/>
      <c r="I233" s="80"/>
      <c r="J233" s="80"/>
      <c r="K233" s="80"/>
      <c r="L233" s="93"/>
      <c r="M233" s="93"/>
      <c r="N233" s="94"/>
      <c r="O233" s="94"/>
      <c r="P233" s="94"/>
      <c r="Q233" s="94"/>
      <c r="R233" s="94"/>
      <c r="S233" s="93"/>
    </row>
    <row r="234" spans="2:19" s="77" customFormat="1" ht="12" customHeight="1" x14ac:dyDescent="0.2">
      <c r="B234" s="96" t="s">
        <v>634</v>
      </c>
      <c r="C234" s="32" t="s">
        <v>635</v>
      </c>
      <c r="D234" s="80">
        <f t="shared" si="10"/>
        <v>0</v>
      </c>
      <c r="E234" s="80"/>
      <c r="F234" s="80"/>
      <c r="G234" s="80"/>
      <c r="H234" s="80"/>
      <c r="I234" s="80"/>
      <c r="J234" s="80"/>
      <c r="K234" s="80"/>
      <c r="L234" s="93"/>
      <c r="M234" s="93"/>
      <c r="N234" s="93"/>
      <c r="O234" s="93"/>
      <c r="P234" s="93"/>
      <c r="Q234" s="93"/>
      <c r="R234" s="93"/>
      <c r="S234" s="93"/>
    </row>
    <row r="235" spans="2:19" s="77" customFormat="1" ht="12" customHeight="1" x14ac:dyDescent="0.2">
      <c r="B235" s="96" t="s">
        <v>331</v>
      </c>
      <c r="C235" s="32" t="s">
        <v>636</v>
      </c>
      <c r="D235" s="79">
        <f t="shared" si="10"/>
        <v>39</v>
      </c>
      <c r="E235" s="79">
        <v>27</v>
      </c>
      <c r="F235" s="79"/>
      <c r="G235" s="79"/>
      <c r="H235" s="79"/>
      <c r="I235" s="79"/>
      <c r="J235" s="79"/>
      <c r="K235" s="79">
        <f>12</f>
        <v>12</v>
      </c>
      <c r="L235" s="87"/>
      <c r="M235" s="87">
        <f>2+1</f>
        <v>3</v>
      </c>
      <c r="N235" s="87">
        <f>1</f>
        <v>1</v>
      </c>
      <c r="O235" s="87"/>
      <c r="P235" s="87"/>
      <c r="Q235" s="87"/>
      <c r="R235" s="87">
        <f>1+1+1</f>
        <v>3</v>
      </c>
      <c r="S235" s="87"/>
    </row>
    <row r="236" spans="2:19" s="77" customFormat="1" ht="12" customHeight="1" x14ac:dyDescent="0.2">
      <c r="B236" s="96" t="s">
        <v>539</v>
      </c>
      <c r="C236" s="32" t="s">
        <v>637</v>
      </c>
      <c r="D236" s="79">
        <f t="shared" si="10"/>
        <v>10</v>
      </c>
      <c r="E236" s="79"/>
      <c r="F236" s="79"/>
      <c r="G236" s="79"/>
      <c r="H236" s="79"/>
      <c r="I236" s="79"/>
      <c r="J236" s="79"/>
      <c r="K236" s="79">
        <f t="shared" ref="K236:K237" si="11">10</f>
        <v>10</v>
      </c>
      <c r="L236" s="87"/>
      <c r="M236" s="87">
        <f>2</f>
        <v>2</v>
      </c>
      <c r="N236" s="87"/>
      <c r="O236" s="87"/>
      <c r="P236" s="87"/>
      <c r="Q236" s="87"/>
      <c r="R236" s="87">
        <f>2</f>
        <v>2</v>
      </c>
      <c r="S236" s="87">
        <f>1</f>
        <v>1</v>
      </c>
    </row>
    <row r="237" spans="2:19" s="77" customFormat="1" ht="12" customHeight="1" x14ac:dyDescent="0.2">
      <c r="B237" s="96" t="s">
        <v>543</v>
      </c>
      <c r="C237" s="32" t="s">
        <v>638</v>
      </c>
      <c r="D237" s="79">
        <f t="shared" si="10"/>
        <v>30</v>
      </c>
      <c r="E237" s="79">
        <v>20</v>
      </c>
      <c r="F237" s="79"/>
      <c r="G237" s="79"/>
      <c r="H237" s="79"/>
      <c r="I237" s="79"/>
      <c r="J237" s="79"/>
      <c r="K237" s="79">
        <f t="shared" si="11"/>
        <v>10</v>
      </c>
      <c r="L237" s="87">
        <f>8</f>
        <v>8</v>
      </c>
      <c r="M237" s="87">
        <f>1+1</f>
        <v>2</v>
      </c>
      <c r="N237" s="87">
        <f>1</f>
        <v>1</v>
      </c>
      <c r="O237" s="87"/>
      <c r="P237" s="87"/>
      <c r="Q237" s="87"/>
      <c r="R237" s="87">
        <f>1</f>
        <v>1</v>
      </c>
      <c r="S237" s="87"/>
    </row>
    <row r="238" spans="2:19" s="77" customFormat="1" ht="12" customHeight="1" x14ac:dyDescent="0.2">
      <c r="B238" s="96" t="s">
        <v>545</v>
      </c>
      <c r="C238" s="32" t="s">
        <v>639</v>
      </c>
      <c r="D238" s="80">
        <f t="shared" si="10"/>
        <v>0</v>
      </c>
      <c r="E238" s="80"/>
      <c r="F238" s="80"/>
      <c r="G238" s="80"/>
      <c r="H238" s="80"/>
      <c r="I238" s="80"/>
      <c r="J238" s="80"/>
      <c r="K238" s="80"/>
      <c r="L238" s="93"/>
      <c r="M238" s="93"/>
      <c r="N238" s="93"/>
      <c r="O238" s="93"/>
      <c r="P238" s="93"/>
      <c r="Q238" s="93"/>
      <c r="R238" s="93"/>
      <c r="S238" s="93"/>
    </row>
    <row r="239" spans="2:19" s="77" customFormat="1" ht="22.5" customHeight="1" x14ac:dyDescent="0.2">
      <c r="B239" s="102" t="s">
        <v>640</v>
      </c>
      <c r="C239" s="67" t="s">
        <v>73</v>
      </c>
      <c r="D239" s="115"/>
      <c r="E239" s="115"/>
      <c r="F239" s="115"/>
      <c r="G239" s="115"/>
      <c r="H239" s="115"/>
      <c r="I239" s="115"/>
      <c r="J239" s="115"/>
      <c r="K239" s="115"/>
      <c r="L239" s="115"/>
      <c r="M239" s="115"/>
      <c r="N239" s="115"/>
      <c r="O239" s="115"/>
      <c r="P239" s="115"/>
      <c r="Q239" s="115"/>
      <c r="R239" s="115"/>
      <c r="S239" s="115"/>
    </row>
  </sheetData>
  <mergeCells count="22">
    <mergeCell ref="S5:S7"/>
    <mergeCell ref="N5:N7"/>
    <mergeCell ref="O5:O7"/>
    <mergeCell ref="P5:P7"/>
    <mergeCell ref="Q5:Q7"/>
    <mergeCell ref="R5:R7"/>
    <mergeCell ref="B1:S1"/>
    <mergeCell ref="M2:N2"/>
    <mergeCell ref="B4:B7"/>
    <mergeCell ref="C4:C7"/>
    <mergeCell ref="D4:D7"/>
    <mergeCell ref="E4:K4"/>
    <mergeCell ref="L4:L7"/>
    <mergeCell ref="M4:M7"/>
    <mergeCell ref="N4:S4"/>
    <mergeCell ref="E5:E7"/>
    <mergeCell ref="F5:F7"/>
    <mergeCell ref="G5:G7"/>
    <mergeCell ref="H5:H7"/>
    <mergeCell ref="I5:I7"/>
    <mergeCell ref="J5:J7"/>
    <mergeCell ref="K5:K7"/>
  </mergeCells>
  <printOptions horizontalCentered="1"/>
  <pageMargins left="0.78740157480314954" right="0.39370078740157477" top="0.59055118110236249" bottom="0.78740157480314954"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4"/>
  <sheetViews>
    <sheetView zoomScale="140" workbookViewId="0">
      <selection activeCell="B43" sqref="B43"/>
    </sheetView>
  </sheetViews>
  <sheetFormatPr defaultColWidth="13.42578125" defaultRowHeight="11.25" x14ac:dyDescent="0.2"/>
  <cols>
    <col min="1" max="1" width="7.42578125" style="116" customWidth="1"/>
    <col min="2" max="2" width="33.85546875" style="116" customWidth="1"/>
    <col min="3" max="3" width="5.85546875" style="25" customWidth="1"/>
    <col min="4" max="4" width="10.5703125" style="14" customWidth="1"/>
    <col min="5" max="5" width="11.140625" style="14" customWidth="1"/>
    <col min="6" max="6" width="10.5703125" style="14" customWidth="1"/>
    <col min="7" max="7" width="5.85546875" style="14" customWidth="1"/>
    <col min="8" max="8" width="6.85546875" style="14" customWidth="1"/>
    <col min="9" max="10" width="7.42578125" style="14" customWidth="1"/>
    <col min="11" max="11" width="6.85546875" style="14" customWidth="1"/>
    <col min="12" max="12" width="5.5703125" style="14" customWidth="1"/>
    <col min="13" max="13" width="4.7109375" style="14" customWidth="1"/>
    <col min="14" max="16384" width="13.42578125" style="14"/>
  </cols>
  <sheetData>
    <row r="1" spans="1:15" s="117" customFormat="1" ht="19.350000000000001" customHeight="1" x14ac:dyDescent="0.2">
      <c r="A1" s="179" t="s">
        <v>641</v>
      </c>
      <c r="B1" s="179"/>
      <c r="C1" s="179"/>
      <c r="D1" s="179"/>
      <c r="E1" s="179"/>
      <c r="F1" s="179"/>
      <c r="G1" s="179"/>
      <c r="H1" s="179"/>
      <c r="I1" s="179"/>
      <c r="J1" s="179"/>
      <c r="K1" s="179"/>
      <c r="L1" s="179"/>
      <c r="M1" s="179"/>
    </row>
    <row r="2" spans="1:15" s="117" customFormat="1" ht="17.25" customHeight="1" x14ac:dyDescent="0.2">
      <c r="A2" s="271"/>
      <c r="B2" s="272"/>
      <c r="C2" s="272"/>
      <c r="D2" s="272"/>
      <c r="E2" s="272"/>
      <c r="F2" s="272"/>
      <c r="G2" s="272"/>
      <c r="H2" s="272"/>
      <c r="I2" s="272"/>
      <c r="J2" s="272"/>
      <c r="K2" s="272"/>
      <c r="L2" s="272"/>
      <c r="M2" s="272"/>
    </row>
    <row r="3" spans="1:15" ht="25.5" customHeight="1" x14ac:dyDescent="0.2">
      <c r="A3" s="267"/>
      <c r="B3" s="267"/>
      <c r="C3" s="285" t="s">
        <v>35</v>
      </c>
      <c r="D3" s="235" t="s">
        <v>642</v>
      </c>
      <c r="E3" s="235" t="s">
        <v>643</v>
      </c>
      <c r="F3" s="275" t="s">
        <v>644</v>
      </c>
      <c r="G3" s="235" t="s">
        <v>221</v>
      </c>
      <c r="H3" s="235"/>
      <c r="I3" s="235"/>
      <c r="J3" s="235"/>
      <c r="K3" s="235"/>
      <c r="L3" s="235"/>
      <c r="M3" s="237"/>
    </row>
    <row r="4" spans="1:15" ht="15" customHeight="1" x14ac:dyDescent="0.2">
      <c r="A4" s="267"/>
      <c r="B4" s="267"/>
      <c r="C4" s="285"/>
      <c r="D4" s="235"/>
      <c r="E4" s="235"/>
      <c r="F4" s="276"/>
      <c r="G4" s="239" t="s">
        <v>645</v>
      </c>
      <c r="H4" s="239"/>
      <c r="I4" s="239"/>
      <c r="J4" s="239"/>
      <c r="K4" s="247" t="s">
        <v>646</v>
      </c>
      <c r="L4" s="245" t="s">
        <v>647</v>
      </c>
      <c r="M4" s="74" t="s">
        <v>648</v>
      </c>
    </row>
    <row r="5" spans="1:15" ht="84" customHeight="1" x14ac:dyDescent="0.2">
      <c r="A5" s="267"/>
      <c r="B5" s="267"/>
      <c r="C5" s="285"/>
      <c r="D5" s="235"/>
      <c r="E5" s="235"/>
      <c r="F5" s="277"/>
      <c r="G5" s="74" t="s">
        <v>649</v>
      </c>
      <c r="H5" s="74" t="s">
        <v>650</v>
      </c>
      <c r="I5" s="74" t="s">
        <v>651</v>
      </c>
      <c r="J5" s="74" t="s">
        <v>652</v>
      </c>
      <c r="K5" s="278"/>
      <c r="L5" s="247"/>
      <c r="M5" s="74" t="s">
        <v>653</v>
      </c>
      <c r="N5" s="118"/>
      <c r="O5" s="118"/>
    </row>
    <row r="6" spans="1:15" s="19" customFormat="1" ht="16.5" customHeight="1" x14ac:dyDescent="0.2">
      <c r="A6" s="267" t="s">
        <v>66</v>
      </c>
      <c r="B6" s="267"/>
      <c r="C6" s="32" t="s">
        <v>67</v>
      </c>
      <c r="D6" s="32" t="s">
        <v>68</v>
      </c>
      <c r="E6" s="32" t="s">
        <v>69</v>
      </c>
      <c r="F6" s="32" t="s">
        <v>70</v>
      </c>
      <c r="G6" s="32" t="s">
        <v>71</v>
      </c>
      <c r="H6" s="32" t="s">
        <v>72</v>
      </c>
      <c r="I6" s="32" t="s">
        <v>73</v>
      </c>
      <c r="J6" s="32" t="s">
        <v>74</v>
      </c>
      <c r="K6" s="32" t="s">
        <v>75</v>
      </c>
      <c r="L6" s="32" t="s">
        <v>76</v>
      </c>
      <c r="M6" s="32" t="s">
        <v>77</v>
      </c>
    </row>
    <row r="7" spans="1:15" s="119" customFormat="1" ht="24" customHeight="1" x14ac:dyDescent="0.15">
      <c r="A7" s="270" t="s">
        <v>654</v>
      </c>
      <c r="B7" s="270"/>
      <c r="C7" s="67" t="s">
        <v>68</v>
      </c>
      <c r="D7" s="53">
        <f>D8+D9+D10+D11+D12+D13+D14+D22+D29</f>
        <v>982</v>
      </c>
      <c r="E7" s="53">
        <f t="shared" ref="E7:M7" si="0">E8+E9+E10+E11+E12+E13+E14+E22+E29</f>
        <v>151235</v>
      </c>
      <c r="F7" s="53">
        <f t="shared" si="0"/>
        <v>56008</v>
      </c>
      <c r="G7" s="53">
        <f>G8+G14+G22+G29</f>
        <v>3309</v>
      </c>
      <c r="H7" s="53">
        <f t="shared" si="0"/>
        <v>26323</v>
      </c>
      <c r="I7" s="53">
        <f>I10+I11+I12+I14+I22+I29</f>
        <v>18263</v>
      </c>
      <c r="J7" s="53">
        <f>J11+J12+J14+J22+J29</f>
        <v>8113</v>
      </c>
      <c r="K7" s="53">
        <f t="shared" si="0"/>
        <v>17245</v>
      </c>
      <c r="L7" s="53">
        <f t="shared" si="0"/>
        <v>314</v>
      </c>
      <c r="M7" s="53">
        <f t="shared" si="0"/>
        <v>60</v>
      </c>
    </row>
    <row r="8" spans="1:15" ht="22.5" customHeight="1" x14ac:dyDescent="0.2">
      <c r="A8" s="269" t="s">
        <v>655</v>
      </c>
      <c r="B8" s="269"/>
      <c r="C8" s="67" t="s">
        <v>656</v>
      </c>
      <c r="D8" s="53">
        <v>373</v>
      </c>
      <c r="E8" s="53">
        <v>16100</v>
      </c>
      <c r="F8" s="53">
        <v>3381</v>
      </c>
      <c r="G8" s="53">
        <v>3309</v>
      </c>
      <c r="H8" s="53">
        <v>72</v>
      </c>
      <c r="I8" s="115" t="s">
        <v>657</v>
      </c>
      <c r="J8" s="115" t="s">
        <v>657</v>
      </c>
      <c r="K8" s="53">
        <v>1724</v>
      </c>
      <c r="L8" s="53">
        <v>5</v>
      </c>
      <c r="M8" s="53">
        <v>2</v>
      </c>
    </row>
    <row r="9" spans="1:15" ht="16.5" customHeight="1" x14ac:dyDescent="0.2">
      <c r="A9" s="268" t="s">
        <v>658</v>
      </c>
      <c r="B9" s="268"/>
      <c r="C9" s="67" t="s">
        <v>659</v>
      </c>
      <c r="D9" s="53">
        <v>323</v>
      </c>
      <c r="E9" s="53">
        <v>82500</v>
      </c>
      <c r="F9" s="53">
        <v>20460</v>
      </c>
      <c r="G9" s="115" t="s">
        <v>657</v>
      </c>
      <c r="H9" s="53">
        <v>20460</v>
      </c>
      <c r="I9" s="115" t="s">
        <v>657</v>
      </c>
      <c r="J9" s="115" t="s">
        <v>657</v>
      </c>
      <c r="K9" s="53">
        <v>9002</v>
      </c>
      <c r="L9" s="53">
        <v>117</v>
      </c>
      <c r="M9" s="53">
        <v>21</v>
      </c>
    </row>
    <row r="10" spans="1:15" ht="15.75" customHeight="1" x14ac:dyDescent="0.2">
      <c r="A10" s="270" t="s">
        <v>660</v>
      </c>
      <c r="B10" s="270"/>
      <c r="C10" s="67" t="s">
        <v>661</v>
      </c>
      <c r="D10" s="53">
        <v>13</v>
      </c>
      <c r="E10" s="53">
        <v>5754</v>
      </c>
      <c r="F10" s="53">
        <v>1323</v>
      </c>
      <c r="G10" s="115" t="s">
        <v>657</v>
      </c>
      <c r="H10" s="53">
        <v>239</v>
      </c>
      <c r="I10" s="53">
        <v>1084</v>
      </c>
      <c r="J10" s="115" t="s">
        <v>657</v>
      </c>
      <c r="K10" s="53">
        <v>635</v>
      </c>
      <c r="L10" s="53">
        <v>19</v>
      </c>
      <c r="M10" s="53">
        <v>5</v>
      </c>
    </row>
    <row r="11" spans="1:15" ht="15.75" customHeight="1" x14ac:dyDescent="0.2">
      <c r="A11" s="262" t="s">
        <v>662</v>
      </c>
      <c r="B11" s="262"/>
      <c r="C11" s="67" t="s">
        <v>663</v>
      </c>
      <c r="D11" s="53">
        <v>18</v>
      </c>
      <c r="E11" s="53">
        <v>5754</v>
      </c>
      <c r="F11" s="53">
        <v>2071</v>
      </c>
      <c r="G11" s="115" t="s">
        <v>657</v>
      </c>
      <c r="H11" s="53">
        <v>1020</v>
      </c>
      <c r="I11" s="53">
        <v>953</v>
      </c>
      <c r="J11" s="53">
        <v>98</v>
      </c>
      <c r="K11" s="53">
        <v>828</v>
      </c>
      <c r="L11" s="53">
        <v>13</v>
      </c>
      <c r="M11" s="53">
        <v>2</v>
      </c>
    </row>
    <row r="12" spans="1:15" ht="17.25" customHeight="1" x14ac:dyDescent="0.2">
      <c r="A12" s="262" t="s">
        <v>664</v>
      </c>
      <c r="B12" s="262"/>
      <c r="C12" s="67" t="s">
        <v>665</v>
      </c>
      <c r="D12" s="53">
        <v>5</v>
      </c>
      <c r="E12" s="53">
        <v>9458</v>
      </c>
      <c r="F12" s="53">
        <v>2459</v>
      </c>
      <c r="G12" s="115" t="s">
        <v>657</v>
      </c>
      <c r="H12" s="53">
        <v>879</v>
      </c>
      <c r="I12" s="53">
        <v>1508</v>
      </c>
      <c r="J12" s="53">
        <v>72</v>
      </c>
      <c r="K12" s="53">
        <v>988</v>
      </c>
      <c r="L12" s="53">
        <v>21</v>
      </c>
      <c r="M12" s="53">
        <v>5</v>
      </c>
    </row>
    <row r="13" spans="1:15" ht="14.25" customHeight="1" x14ac:dyDescent="0.2">
      <c r="A13" s="259" t="s">
        <v>666</v>
      </c>
      <c r="B13" s="260"/>
      <c r="C13" s="67" t="s">
        <v>667</v>
      </c>
      <c r="D13" s="53">
        <v>27</v>
      </c>
      <c r="E13" s="53">
        <v>9813</v>
      </c>
      <c r="F13" s="53">
        <v>3112</v>
      </c>
      <c r="G13" s="122">
        <f t="shared" ref="E13:M14" si="1">SUM(G14:G20)</f>
        <v>0</v>
      </c>
      <c r="H13" s="53">
        <v>3112</v>
      </c>
      <c r="I13" s="115" t="s">
        <v>657</v>
      </c>
      <c r="J13" s="115" t="s">
        <v>657</v>
      </c>
      <c r="K13" s="53">
        <v>1198</v>
      </c>
      <c r="L13" s="53">
        <v>39</v>
      </c>
      <c r="M13" s="53">
        <v>14</v>
      </c>
    </row>
    <row r="14" spans="1:15" ht="24.75" customHeight="1" x14ac:dyDescent="0.2">
      <c r="A14" s="259" t="s">
        <v>668</v>
      </c>
      <c r="B14" s="260"/>
      <c r="C14" s="32" t="s">
        <v>669</v>
      </c>
      <c r="D14" s="123">
        <f>SUM(D15:D21)</f>
        <v>5</v>
      </c>
      <c r="E14" s="123">
        <f t="shared" si="1"/>
        <v>38</v>
      </c>
      <c r="F14" s="123">
        <f t="shared" si="1"/>
        <v>12453</v>
      </c>
      <c r="G14" s="122">
        <f t="shared" si="1"/>
        <v>0</v>
      </c>
      <c r="H14" s="123">
        <f t="shared" si="1"/>
        <v>199</v>
      </c>
      <c r="I14" s="123">
        <f t="shared" si="1"/>
        <v>7931</v>
      </c>
      <c r="J14" s="123">
        <f t="shared" si="1"/>
        <v>4323</v>
      </c>
      <c r="K14" s="123">
        <f t="shared" si="1"/>
        <v>1526</v>
      </c>
      <c r="L14" s="123">
        <f t="shared" si="1"/>
        <v>70</v>
      </c>
      <c r="M14" s="123">
        <f t="shared" si="1"/>
        <v>7</v>
      </c>
    </row>
    <row r="15" spans="1:15" ht="24" customHeight="1" x14ac:dyDescent="0.2">
      <c r="A15" s="263" t="s">
        <v>670</v>
      </c>
      <c r="B15" s="264"/>
      <c r="C15" s="32" t="s">
        <v>671</v>
      </c>
      <c r="D15" s="123"/>
      <c r="E15" s="124"/>
      <c r="F15" s="124"/>
      <c r="G15" s="124"/>
      <c r="H15" s="124"/>
      <c r="I15" s="124"/>
      <c r="J15" s="124"/>
      <c r="K15" s="124"/>
      <c r="L15" s="124"/>
      <c r="M15" s="124"/>
    </row>
    <row r="16" spans="1:15" ht="12" customHeight="1" x14ac:dyDescent="0.2">
      <c r="A16" s="259" t="s">
        <v>672</v>
      </c>
      <c r="B16" s="260"/>
      <c r="C16" s="32" t="s">
        <v>673</v>
      </c>
      <c r="D16" s="123">
        <v>1</v>
      </c>
      <c r="E16" s="123">
        <v>5</v>
      </c>
      <c r="F16" s="123">
        <v>3603</v>
      </c>
      <c r="G16" s="123"/>
      <c r="H16" s="123">
        <v>72</v>
      </c>
      <c r="I16" s="123">
        <v>2543</v>
      </c>
      <c r="J16" s="123">
        <v>988</v>
      </c>
      <c r="K16" s="123">
        <v>315</v>
      </c>
      <c r="L16" s="123">
        <v>16</v>
      </c>
      <c r="M16" s="123">
        <v>2</v>
      </c>
    </row>
    <row r="17" spans="1:13" ht="12" customHeight="1" x14ac:dyDescent="0.2">
      <c r="A17" s="265" t="s">
        <v>674</v>
      </c>
      <c r="B17" s="266"/>
      <c r="C17" s="32" t="s">
        <v>675</v>
      </c>
      <c r="D17" s="123"/>
      <c r="E17" s="124"/>
      <c r="F17" s="123"/>
      <c r="G17" s="123"/>
      <c r="H17" s="123"/>
      <c r="I17" s="123"/>
      <c r="J17" s="123"/>
      <c r="K17" s="123"/>
      <c r="L17" s="123"/>
      <c r="M17" s="123"/>
    </row>
    <row r="18" spans="1:13" ht="12" customHeight="1" x14ac:dyDescent="0.2">
      <c r="A18" s="265" t="s">
        <v>676</v>
      </c>
      <c r="B18" s="266"/>
      <c r="C18" s="32" t="s">
        <v>677</v>
      </c>
      <c r="D18" s="123">
        <v>3</v>
      </c>
      <c r="E18" s="123">
        <v>32</v>
      </c>
      <c r="F18" s="123">
        <v>8509</v>
      </c>
      <c r="G18" s="123"/>
      <c r="H18" s="123">
        <v>103</v>
      </c>
      <c r="I18" s="123">
        <v>5156</v>
      </c>
      <c r="J18" s="123">
        <v>3250</v>
      </c>
      <c r="K18" s="123">
        <v>1139</v>
      </c>
      <c r="L18" s="123">
        <v>52</v>
      </c>
      <c r="M18" s="123">
        <v>4</v>
      </c>
    </row>
    <row r="19" spans="1:13" ht="12" customHeight="1" x14ac:dyDescent="0.2">
      <c r="A19" s="265" t="s">
        <v>678</v>
      </c>
      <c r="B19" s="266"/>
      <c r="C19" s="32" t="s">
        <v>679</v>
      </c>
      <c r="D19" s="123"/>
      <c r="E19" s="124"/>
      <c r="F19" s="123"/>
      <c r="G19" s="123"/>
      <c r="H19" s="123"/>
      <c r="I19" s="123"/>
      <c r="J19" s="123"/>
      <c r="K19" s="123"/>
      <c r="L19" s="123"/>
      <c r="M19" s="123"/>
    </row>
    <row r="20" spans="1:13" ht="12" customHeight="1" x14ac:dyDescent="0.2">
      <c r="A20" s="273" t="s">
        <v>680</v>
      </c>
      <c r="B20" s="290"/>
      <c r="C20" s="32" t="s">
        <v>681</v>
      </c>
      <c r="D20" s="123">
        <v>1</v>
      </c>
      <c r="E20" s="123">
        <v>1</v>
      </c>
      <c r="F20" s="123">
        <v>341</v>
      </c>
      <c r="G20" s="123"/>
      <c r="H20" s="123">
        <v>24</v>
      </c>
      <c r="I20" s="123">
        <v>232</v>
      </c>
      <c r="J20" s="123">
        <v>85</v>
      </c>
      <c r="K20" s="123">
        <v>72</v>
      </c>
      <c r="L20" s="123">
        <v>2</v>
      </c>
      <c r="M20" s="123">
        <v>1</v>
      </c>
    </row>
    <row r="21" spans="1:13" ht="12" customHeight="1" x14ac:dyDescent="0.2">
      <c r="A21" s="273" t="s">
        <v>682</v>
      </c>
      <c r="B21" s="274"/>
      <c r="C21" s="32" t="s">
        <v>683</v>
      </c>
      <c r="D21" s="123"/>
      <c r="E21" s="124"/>
      <c r="F21" s="123"/>
      <c r="G21" s="123"/>
      <c r="H21" s="123"/>
      <c r="I21" s="123"/>
      <c r="J21" s="123"/>
      <c r="K21" s="123"/>
      <c r="L21" s="123"/>
      <c r="M21" s="123"/>
    </row>
    <row r="22" spans="1:13" ht="30.75" customHeight="1" x14ac:dyDescent="0.2">
      <c r="A22" s="259" t="s">
        <v>684</v>
      </c>
      <c r="B22" s="260"/>
      <c r="C22" s="32" t="s">
        <v>685</v>
      </c>
      <c r="D22" s="53">
        <f>SUM(D23:D28)</f>
        <v>1</v>
      </c>
      <c r="E22" s="53">
        <f t="shared" ref="E22:M22" si="2">SUM(E23:E28)</f>
        <v>23</v>
      </c>
      <c r="F22" s="53">
        <f t="shared" si="2"/>
        <v>5</v>
      </c>
      <c r="G22" s="115">
        <f t="shared" si="2"/>
        <v>0</v>
      </c>
      <c r="H22" s="115">
        <f t="shared" si="2"/>
        <v>0</v>
      </c>
      <c r="I22" s="115">
        <f t="shared" si="2"/>
        <v>0</v>
      </c>
      <c r="J22" s="53">
        <f t="shared" si="2"/>
        <v>5</v>
      </c>
      <c r="K22" s="53">
        <f t="shared" si="2"/>
        <v>3</v>
      </c>
      <c r="L22" s="53">
        <f t="shared" si="2"/>
        <v>1</v>
      </c>
      <c r="M22" s="53">
        <f t="shared" si="2"/>
        <v>1</v>
      </c>
    </row>
    <row r="23" spans="1:13" ht="24" customHeight="1" x14ac:dyDescent="0.2">
      <c r="A23" s="263" t="s">
        <v>670</v>
      </c>
      <c r="B23" s="264"/>
      <c r="C23" s="32" t="s">
        <v>686</v>
      </c>
      <c r="D23" s="115"/>
      <c r="E23" s="106"/>
      <c r="F23" s="106"/>
      <c r="G23" s="106"/>
      <c r="H23" s="106"/>
      <c r="I23" s="106"/>
      <c r="J23" s="106"/>
      <c r="K23" s="106"/>
      <c r="L23" s="106"/>
      <c r="M23" s="106"/>
    </row>
    <row r="24" spans="1:13" ht="12" customHeight="1" x14ac:dyDescent="0.2">
      <c r="A24" s="259" t="s">
        <v>672</v>
      </c>
      <c r="B24" s="260"/>
      <c r="C24" s="32" t="s">
        <v>687</v>
      </c>
      <c r="D24" s="53">
        <v>1</v>
      </c>
      <c r="E24" s="7">
        <v>23</v>
      </c>
      <c r="F24" s="7">
        <v>5</v>
      </c>
      <c r="G24" s="55"/>
      <c r="H24" s="55"/>
      <c r="I24" s="55"/>
      <c r="J24" s="7">
        <v>5</v>
      </c>
      <c r="K24" s="7">
        <v>3</v>
      </c>
      <c r="L24" s="53">
        <v>1</v>
      </c>
      <c r="M24" s="53">
        <v>1</v>
      </c>
    </row>
    <row r="25" spans="1:13" ht="12" customHeight="1" x14ac:dyDescent="0.2">
      <c r="A25" s="261" t="s">
        <v>674</v>
      </c>
      <c r="B25" s="261"/>
      <c r="C25" s="32" t="s">
        <v>688</v>
      </c>
      <c r="D25" s="115"/>
      <c r="E25" s="106"/>
      <c r="F25" s="106"/>
      <c r="G25" s="106"/>
      <c r="H25" s="106"/>
      <c r="I25" s="106"/>
      <c r="J25" s="106"/>
      <c r="K25" s="106"/>
      <c r="L25" s="106"/>
      <c r="M25" s="106"/>
    </row>
    <row r="26" spans="1:13" ht="12" customHeight="1" x14ac:dyDescent="0.2">
      <c r="A26" s="261" t="s">
        <v>676</v>
      </c>
      <c r="B26" s="261"/>
      <c r="C26" s="32" t="s">
        <v>689</v>
      </c>
      <c r="D26" s="115"/>
      <c r="E26" s="106"/>
      <c r="F26" s="106"/>
      <c r="G26" s="106"/>
      <c r="H26" s="106"/>
      <c r="I26" s="106"/>
      <c r="J26" s="106"/>
      <c r="K26" s="106"/>
      <c r="L26" s="106"/>
      <c r="M26" s="106"/>
    </row>
    <row r="27" spans="1:13" ht="12" customHeight="1" x14ac:dyDescent="0.2">
      <c r="A27" s="261" t="s">
        <v>678</v>
      </c>
      <c r="B27" s="261"/>
      <c r="C27" s="32" t="s">
        <v>690</v>
      </c>
      <c r="D27" s="115"/>
      <c r="E27" s="106"/>
      <c r="F27" s="106"/>
      <c r="G27" s="106"/>
      <c r="H27" s="106"/>
      <c r="I27" s="106"/>
      <c r="J27" s="106"/>
      <c r="K27" s="106"/>
      <c r="L27" s="106"/>
      <c r="M27" s="106"/>
    </row>
    <row r="28" spans="1:13" ht="12" customHeight="1" x14ac:dyDescent="0.2">
      <c r="A28" s="273" t="s">
        <v>680</v>
      </c>
      <c r="B28" s="290"/>
      <c r="C28" s="32" t="s">
        <v>691</v>
      </c>
      <c r="D28" s="115"/>
      <c r="E28" s="106"/>
      <c r="F28" s="106"/>
      <c r="G28" s="106"/>
      <c r="H28" s="106"/>
      <c r="I28" s="106"/>
      <c r="J28" s="106"/>
      <c r="K28" s="106"/>
      <c r="L28" s="106"/>
      <c r="M28" s="106"/>
    </row>
    <row r="29" spans="1:13" ht="16.5" customHeight="1" x14ac:dyDescent="0.2">
      <c r="A29" s="259" t="s">
        <v>692</v>
      </c>
      <c r="B29" s="260"/>
      <c r="C29" s="67" t="s">
        <v>693</v>
      </c>
      <c r="D29" s="53">
        <v>217</v>
      </c>
      <c r="E29" s="53">
        <v>21795</v>
      </c>
      <c r="F29" s="53">
        <v>10744</v>
      </c>
      <c r="G29" s="53"/>
      <c r="H29" s="53">
        <v>342</v>
      </c>
      <c r="I29" s="53">
        <v>6787</v>
      </c>
      <c r="J29" s="53">
        <v>3615</v>
      </c>
      <c r="K29" s="53">
        <v>1341</v>
      </c>
      <c r="L29" s="53">
        <v>29</v>
      </c>
      <c r="M29" s="53">
        <v>3</v>
      </c>
    </row>
    <row r="30" spans="1:13" ht="23.1" customHeight="1" x14ac:dyDescent="0.2">
      <c r="A30" s="120"/>
      <c r="B30" s="121" t="s">
        <v>694</v>
      </c>
      <c r="C30" s="67" t="s">
        <v>695</v>
      </c>
      <c r="D30" s="53">
        <v>7</v>
      </c>
      <c r="E30" s="53">
        <v>15</v>
      </c>
      <c r="F30" s="53">
        <v>13</v>
      </c>
      <c r="G30" s="53"/>
      <c r="H30" s="53"/>
      <c r="I30" s="53"/>
      <c r="J30" s="53">
        <v>13</v>
      </c>
      <c r="K30" s="53">
        <v>7</v>
      </c>
      <c r="L30" s="53">
        <v>1</v>
      </c>
      <c r="M30" s="53">
        <v>1</v>
      </c>
    </row>
    <row r="31" spans="1:13" ht="13.5" customHeight="1" x14ac:dyDescent="0.2">
      <c r="C31" s="125"/>
      <c r="D31" s="126"/>
      <c r="E31" s="126"/>
      <c r="F31" s="126"/>
      <c r="G31" s="126"/>
      <c r="H31" s="126"/>
      <c r="I31" s="126"/>
      <c r="J31" s="126"/>
      <c r="K31" s="126"/>
      <c r="L31" s="126"/>
      <c r="M31" s="126"/>
    </row>
    <row r="32" spans="1:13" ht="11.25" customHeight="1" x14ac:dyDescent="0.2">
      <c r="C32" s="125"/>
      <c r="D32" s="126"/>
      <c r="E32" s="126"/>
      <c r="F32" s="126"/>
      <c r="G32" s="126"/>
      <c r="H32" s="126"/>
      <c r="I32" s="126"/>
      <c r="J32" s="126"/>
      <c r="K32" s="126"/>
      <c r="L32" s="126"/>
      <c r="M32" s="126"/>
    </row>
    <row r="33" spans="2:13" ht="15" customHeight="1" x14ac:dyDescent="0.25">
      <c r="C33" s="116"/>
      <c r="D33" s="116"/>
      <c r="F33" s="127"/>
      <c r="G33" s="128" t="s">
        <v>696</v>
      </c>
      <c r="H33" s="127"/>
      <c r="I33" s="127"/>
    </row>
    <row r="34" spans="2:13" ht="12" customHeight="1" x14ac:dyDescent="0.2">
      <c r="B34" s="286" t="s">
        <v>697</v>
      </c>
      <c r="C34" s="116"/>
      <c r="D34" s="116"/>
      <c r="G34" s="288" t="s">
        <v>698</v>
      </c>
      <c r="H34" s="289"/>
      <c r="I34" s="289"/>
      <c r="J34" s="289"/>
      <c r="K34" s="289"/>
      <c r="L34" s="289"/>
      <c r="M34" s="289"/>
    </row>
    <row r="35" spans="2:13" ht="11.25" customHeight="1" x14ac:dyDescent="0.2">
      <c r="B35" s="287"/>
      <c r="G35" s="283"/>
      <c r="H35" s="284"/>
      <c r="I35" s="284"/>
      <c r="J35" s="284"/>
      <c r="K35" s="284"/>
      <c r="L35" s="284"/>
      <c r="M35" s="284"/>
    </row>
    <row r="36" spans="2:13" ht="11.25" customHeight="1" x14ac:dyDescent="0.2">
      <c r="B36" s="287"/>
    </row>
    <row r="37" spans="2:13" ht="11.25" customHeight="1" x14ac:dyDescent="0.2"/>
    <row r="38" spans="2:13" ht="14.25" x14ac:dyDescent="0.2">
      <c r="B38" s="130"/>
      <c r="G38" s="128" t="s">
        <v>699</v>
      </c>
    </row>
    <row r="39" spans="2:13" ht="22.5" x14ac:dyDescent="0.2">
      <c r="B39" s="116" t="s">
        <v>700</v>
      </c>
      <c r="G39" s="279" t="s">
        <v>698</v>
      </c>
      <c r="H39" s="280"/>
      <c r="I39" s="280"/>
      <c r="J39" s="280"/>
      <c r="K39" s="280"/>
      <c r="L39" s="280"/>
      <c r="M39" s="280"/>
    </row>
    <row r="40" spans="2:13" ht="12.75" x14ac:dyDescent="0.2">
      <c r="G40" s="16"/>
      <c r="H40" s="129"/>
      <c r="I40" s="129"/>
      <c r="J40" s="129"/>
      <c r="K40" s="129"/>
      <c r="L40" s="129"/>
      <c r="M40" s="129"/>
    </row>
    <row r="42" spans="2:13" ht="12.75" x14ac:dyDescent="0.2">
      <c r="B42" s="116" t="s">
        <v>701</v>
      </c>
      <c r="G42" s="281" t="s">
        <v>702</v>
      </c>
      <c r="H42" s="282"/>
      <c r="I42" s="282"/>
      <c r="J42" s="282"/>
      <c r="K42" s="282"/>
      <c r="L42" s="282"/>
      <c r="M42" s="282"/>
    </row>
    <row r="44" spans="2:13" x14ac:dyDescent="0.2">
      <c r="C44" s="131"/>
      <c r="D44" s="132"/>
      <c r="E44" s="132"/>
      <c r="F44" s="132"/>
    </row>
  </sheetData>
  <mergeCells count="40">
    <mergeCell ref="G39:M39"/>
    <mergeCell ref="G42:M42"/>
    <mergeCell ref="G35:M35"/>
    <mergeCell ref="A10:B10"/>
    <mergeCell ref="G4:J4"/>
    <mergeCell ref="C3:C5"/>
    <mergeCell ref="B34:B36"/>
    <mergeCell ref="G34:M34"/>
    <mergeCell ref="A18:B18"/>
    <mergeCell ref="A19:B19"/>
    <mergeCell ref="A27:B27"/>
    <mergeCell ref="A28:B28"/>
    <mergeCell ref="D3:D5"/>
    <mergeCell ref="A20:B20"/>
    <mergeCell ref="A22:B22"/>
    <mergeCell ref="A23:B23"/>
    <mergeCell ref="A1:M1"/>
    <mergeCell ref="A29:B29"/>
    <mergeCell ref="A12:B12"/>
    <mergeCell ref="A6:B6"/>
    <mergeCell ref="A9:B9"/>
    <mergeCell ref="A13:B13"/>
    <mergeCell ref="E3:E5"/>
    <mergeCell ref="G3:M3"/>
    <mergeCell ref="L4:L5"/>
    <mergeCell ref="A8:B8"/>
    <mergeCell ref="A7:B7"/>
    <mergeCell ref="A3:B5"/>
    <mergeCell ref="A2:M2"/>
    <mergeCell ref="A21:B21"/>
    <mergeCell ref="F3:F5"/>
    <mergeCell ref="K4:K5"/>
    <mergeCell ref="A24:B24"/>
    <mergeCell ref="A25:B25"/>
    <mergeCell ref="A26:B26"/>
    <mergeCell ref="A14:B14"/>
    <mergeCell ref="A11:B11"/>
    <mergeCell ref="A15:B15"/>
    <mergeCell ref="A16:B16"/>
    <mergeCell ref="A17:B17"/>
  </mergeCells>
  <printOptions horizontalCentered="1"/>
  <pageMargins left="0.78740157480314954" right="0.39370078740157477" top="0.59055118110236249" bottom="0.78740157480314954"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vt:lpstr>
      <vt:lpstr>І Споруди</vt:lpstr>
      <vt:lpstr>ІІ Спортивна діяльність</vt:lpstr>
      <vt:lpstr>ІІІ ФОР</vt:lpstr>
      <vt:lpstr>'І Споруди'!Print_Titles</vt:lpstr>
      <vt:lpstr>'ІІ Спортивна діяльність'!Print_Titles</vt:lpstr>
      <vt:lpstr>'ІІІ ФОР'!Print_Titles</vt:lpstr>
      <vt:lpstr>Титул!Область_печати</vt:lpstr>
    </vt:vector>
  </TitlesOfParts>
  <Company>MoBIL 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Serbina</dc:creator>
  <cp:lastModifiedBy>Alla</cp:lastModifiedBy>
  <cp:revision>2</cp:revision>
  <dcterms:created xsi:type="dcterms:W3CDTF">2014-06-04T11:17:08Z</dcterms:created>
  <dcterms:modified xsi:type="dcterms:W3CDTF">2026-04-08T07:51:51Z</dcterms:modified>
</cp:coreProperties>
</file>